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illory\Desktop\"/>
    </mc:Choice>
  </mc:AlternateContent>
  <workbookProtection workbookAlgorithmName="SHA-512" workbookHashValue="e5QkO92r4BAN6FbU19hsEeUE4MUvh/YNh/eRBqCn0i5Z1noA4za0uh0BvD6tepeOs/ulIKpT9ADvnpSouWqswg==" workbookSaltValue="k0a0A/n/4IKZ3dnefhkAaw==" workbookSpinCount="100000" lockStructure="1"/>
  <bookViews>
    <workbookView xWindow="0" yWindow="0" windowWidth="12930" windowHeight="6675"/>
  </bookViews>
  <sheets>
    <sheet name="Interview" sheetId="1" r:id="rId1"/>
    <sheet name="Report of Adjustments" sheetId="3" r:id="rId2"/>
    <sheet name="Tax Calcuation" sheetId="2" state="hidden" r:id="rId3"/>
    <sheet name="Standard Deduction" sheetId="5" state="hidden" r:id="rId4"/>
    <sheet name="Itemized Deduction Adjustments" sheetId="6" state="hidden" r:id="rId5"/>
    <sheet name="Child Tax Credit" sheetId="7" state="hidden" r:id="rId6"/>
    <sheet name="QTB" sheetId="8" state="hidden" r:id="rId7"/>
    <sheet name="AMT" sheetId="9" state="hidden" r:id="rId8"/>
    <sheet name="Definitions" sheetId="10"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5" l="1"/>
  <c r="D41" i="5"/>
  <c r="E40" i="5"/>
  <c r="D40" i="5"/>
  <c r="E4" i="3"/>
  <c r="E38" i="3"/>
  <c r="F41" i="5" l="1"/>
  <c r="F40" i="5"/>
  <c r="E17" i="6"/>
  <c r="D17" i="6"/>
  <c r="E13" i="3"/>
  <c r="E10" i="3"/>
  <c r="F42" i="5" l="1"/>
  <c r="D20" i="5" l="1"/>
  <c r="D13" i="5"/>
  <c r="D6" i="5"/>
  <c r="E13" i="8"/>
  <c r="E12" i="8"/>
  <c r="E11" i="8"/>
  <c r="F13" i="8"/>
  <c r="F12" i="8"/>
  <c r="F11" i="8"/>
  <c r="C72" i="8" l="1"/>
  <c r="C73" i="8" s="1"/>
  <c r="C75" i="8"/>
  <c r="C76" i="8" s="1"/>
  <c r="C50" i="8"/>
  <c r="C53" i="8"/>
  <c r="E41" i="2"/>
  <c r="E42" i="2" s="1"/>
  <c r="E43" i="2" s="1"/>
  <c r="E44" i="2" s="1"/>
  <c r="E45" i="2" s="1"/>
  <c r="E30" i="2"/>
  <c r="E31" i="2" s="1"/>
  <c r="E32" i="2" s="1"/>
  <c r="E33" i="2" s="1"/>
  <c r="E34" i="2" s="1"/>
  <c r="E20" i="2"/>
  <c r="E21" i="2" s="1"/>
  <c r="E22" i="2" s="1"/>
  <c r="E23" i="2" s="1"/>
  <c r="E19" i="2"/>
  <c r="E10" i="2"/>
  <c r="E11" i="2" s="1"/>
  <c r="E12" i="2" s="1"/>
  <c r="E9" i="2"/>
  <c r="E8" i="2"/>
  <c r="E7" i="2"/>
  <c r="C74" i="8" l="1"/>
  <c r="C78" i="8"/>
  <c r="C77" i="8"/>
  <c r="E37" i="3"/>
  <c r="E36" i="3"/>
  <c r="C15" i="7"/>
  <c r="C10" i="7"/>
  <c r="E27" i="3"/>
  <c r="D22" i="3"/>
  <c r="D21" i="3"/>
  <c r="D19" i="3"/>
  <c r="D20" i="3"/>
  <c r="C8" i="9" s="1"/>
  <c r="D18" i="3"/>
  <c r="C5" i="9" s="1"/>
  <c r="D7" i="6" l="1"/>
  <c r="D9" i="6"/>
  <c r="D5" i="6"/>
  <c r="E5" i="6" s="1"/>
  <c r="E9" i="6" l="1"/>
  <c r="E7" i="6"/>
  <c r="D11" i="6"/>
  <c r="D13" i="6" l="1"/>
  <c r="D15" i="6" s="1"/>
  <c r="E11" i="6"/>
  <c r="E13" i="6" s="1"/>
  <c r="E15" i="6" s="1"/>
  <c r="E8" i="3"/>
  <c r="E7" i="3"/>
  <c r="E6" i="3"/>
  <c r="E9" i="3" l="1"/>
  <c r="D20" i="6"/>
  <c r="E20" i="6"/>
  <c r="D17" i="3" s="1"/>
  <c r="E23" i="3" s="1"/>
  <c r="D18" i="5" l="1"/>
  <c r="D4" i="5"/>
  <c r="D8" i="5" s="1"/>
  <c r="D11" i="5"/>
  <c r="C6" i="9"/>
  <c r="C4" i="7"/>
  <c r="C4" i="9"/>
  <c r="C51" i="8"/>
  <c r="C10" i="8"/>
  <c r="C9" i="8"/>
  <c r="C8" i="8"/>
  <c r="C7" i="8"/>
  <c r="C6" i="8"/>
  <c r="C5" i="8"/>
  <c r="G43" i="8" l="1"/>
  <c r="C43" i="8"/>
  <c r="F43" i="8"/>
  <c r="G42" i="8"/>
  <c r="F42" i="8"/>
  <c r="C42" i="8"/>
  <c r="D15" i="5"/>
  <c r="E24" i="3" s="1"/>
  <c r="D22" i="5"/>
  <c r="C14" i="8"/>
  <c r="C65" i="8"/>
  <c r="C64" i="8"/>
  <c r="C32" i="8"/>
  <c r="C29" i="8"/>
  <c r="C23" i="8"/>
  <c r="C22" i="8"/>
  <c r="C70" i="8"/>
  <c r="C71" i="8" s="1"/>
  <c r="C48" i="8"/>
  <c r="G44" i="8" l="1"/>
  <c r="G45" i="8" s="1"/>
  <c r="F44" i="8"/>
  <c r="F45" i="8" s="1"/>
  <c r="G78" i="8"/>
  <c r="F78" i="8"/>
  <c r="C79" i="8"/>
  <c r="C66" i="8"/>
  <c r="C67" i="8" s="1"/>
  <c r="C49" i="8"/>
  <c r="C54" i="8"/>
  <c r="C56" i="8" s="1"/>
  <c r="C52" i="8"/>
  <c r="C44" i="8"/>
  <c r="C45" i="8" s="1"/>
  <c r="C30" i="8"/>
  <c r="F56" i="8" l="1"/>
  <c r="C57" i="8"/>
  <c r="G56" i="8"/>
  <c r="C55" i="8"/>
  <c r="C1" i="9" l="1"/>
  <c r="C7" i="9"/>
  <c r="C2" i="7" l="1"/>
  <c r="C9" i="9" l="1"/>
  <c r="C3" i="7"/>
  <c r="C1" i="7"/>
  <c r="C5" i="7" s="1"/>
  <c r="D5" i="7" s="1"/>
  <c r="E5" i="7" s="1"/>
  <c r="B17" i="9" l="1"/>
  <c r="B18" i="9" s="1"/>
  <c r="C6" i="7"/>
  <c r="B24" i="9"/>
  <c r="B25" i="9" s="1"/>
  <c r="C25" i="9" s="1"/>
  <c r="B31" i="9"/>
  <c r="B32" i="9" s="1"/>
  <c r="C32" i="9" s="1"/>
  <c r="F5" i="7"/>
  <c r="C7" i="7" s="1"/>
  <c r="C18" i="5"/>
  <c r="C21" i="5" s="1"/>
  <c r="C22" i="5" s="1"/>
  <c r="C11" i="5"/>
  <c r="C14" i="5" s="1"/>
  <c r="C15" i="5" s="1"/>
  <c r="C4" i="5"/>
  <c r="C7" i="5" s="1"/>
  <c r="C8" i="5" s="1"/>
  <c r="E14" i="3" s="1"/>
  <c r="C45" i="2"/>
  <c r="C44" i="2"/>
  <c r="C43" i="2"/>
  <c r="C42" i="2"/>
  <c r="C41" i="2"/>
  <c r="E40" i="2"/>
  <c r="C40" i="2"/>
  <c r="C34" i="2"/>
  <c r="C33" i="2"/>
  <c r="C32" i="2"/>
  <c r="C31" i="2"/>
  <c r="C30" i="2"/>
  <c r="E29" i="2"/>
  <c r="C29" i="2"/>
  <c r="C23" i="2"/>
  <c r="C22" i="2"/>
  <c r="C21" i="2"/>
  <c r="C20" i="2"/>
  <c r="C19" i="2"/>
  <c r="E18" i="2"/>
  <c r="C18" i="2"/>
  <c r="C12" i="2"/>
  <c r="C11" i="2"/>
  <c r="C10" i="2"/>
  <c r="C9" i="2"/>
  <c r="C8" i="2"/>
  <c r="C7" i="2"/>
  <c r="E15" i="3" l="1"/>
  <c r="E29" i="3"/>
  <c r="C4" i="8" s="1"/>
  <c r="C18" i="9"/>
  <c r="C85" i="8" l="1"/>
  <c r="C86" i="8"/>
  <c r="C58" i="8"/>
  <c r="C59" i="8"/>
  <c r="F77" i="8"/>
  <c r="C81" i="8"/>
  <c r="C82" i="8"/>
  <c r="F55" i="8"/>
  <c r="G55" i="8"/>
  <c r="G77" i="8"/>
  <c r="C20" i="8"/>
  <c r="C24" i="8" s="1"/>
  <c r="C25" i="8" s="1"/>
  <c r="C31" i="8"/>
  <c r="C33" i="8" s="1"/>
  <c r="C34" i="8" s="1"/>
  <c r="C41" i="8" l="1"/>
  <c r="C46" i="8" s="1"/>
  <c r="C87" i="8"/>
  <c r="C90" i="8" s="1"/>
  <c r="C83" i="8"/>
  <c r="G41" i="8" l="1"/>
  <c r="G46" i="8" s="1"/>
  <c r="F41" i="8"/>
  <c r="F46" i="8" s="1"/>
  <c r="C89" i="8"/>
  <c r="C63" i="8" s="1"/>
  <c r="F63" i="8" l="1"/>
  <c r="G63" i="8"/>
  <c r="C68" i="8"/>
  <c r="C18" i="8" l="1"/>
  <c r="C27" i="8" s="1"/>
  <c r="C35" i="8" s="1"/>
  <c r="C37" i="8" s="1"/>
  <c r="E30" i="3" s="1"/>
  <c r="E31" i="3" l="1"/>
  <c r="E42" i="3" l="1"/>
  <c r="B42" i="3"/>
  <c r="C2" i="2"/>
  <c r="F10" i="2" s="1"/>
  <c r="F19" i="2" l="1"/>
  <c r="F43" i="2"/>
  <c r="G43" i="2" s="1"/>
  <c r="H43" i="2" s="1"/>
  <c r="F7" i="2"/>
  <c r="G7" i="2" s="1"/>
  <c r="H7" i="2" s="1"/>
  <c r="F12" i="2"/>
  <c r="G12" i="2" s="1"/>
  <c r="H12" i="2" s="1"/>
  <c r="G19" i="2"/>
  <c r="H19" i="2" s="1"/>
  <c r="F32" i="2"/>
  <c r="G32" i="2" s="1"/>
  <c r="H32" i="2" s="1"/>
  <c r="F9" i="2"/>
  <c r="G9" i="2" s="1"/>
  <c r="H9" i="2" s="1"/>
  <c r="F18" i="2"/>
  <c r="G18" i="2" s="1"/>
  <c r="H18" i="2" s="1"/>
  <c r="F33" i="2"/>
  <c r="G33" i="2" s="1"/>
  <c r="H33" i="2" s="1"/>
  <c r="F42" i="2"/>
  <c r="G42" i="2" s="1"/>
  <c r="H42" i="2" s="1"/>
  <c r="F39" i="2"/>
  <c r="G39" i="2" s="1"/>
  <c r="F44" i="2"/>
  <c r="G44" i="2" s="1"/>
  <c r="H44" i="2" s="1"/>
  <c r="F40" i="2"/>
  <c r="G40" i="2" s="1"/>
  <c r="H40" i="2" s="1"/>
  <c r="F28" i="2"/>
  <c r="G28" i="2" s="1"/>
  <c r="F22" i="2"/>
  <c r="G22" i="2" s="1"/>
  <c r="H22" i="2" s="1"/>
  <c r="F31" i="2"/>
  <c r="G31" i="2" s="1"/>
  <c r="H31" i="2" s="1"/>
  <c r="F29" i="2"/>
  <c r="G29" i="2" s="1"/>
  <c r="H29" i="2" s="1"/>
  <c r="F23" i="2"/>
  <c r="G23" i="2" s="1"/>
  <c r="H23" i="2" s="1"/>
  <c r="F17" i="2"/>
  <c r="G17" i="2" s="1"/>
  <c r="G10" i="2"/>
  <c r="H10" i="2" s="1"/>
  <c r="F41" i="2"/>
  <c r="G41" i="2" s="1"/>
  <c r="H41" i="2" s="1"/>
  <c r="F8" i="2"/>
  <c r="G8" i="2" s="1"/>
  <c r="H8" i="2" s="1"/>
  <c r="F11" i="2"/>
  <c r="G11" i="2" s="1"/>
  <c r="H11" i="2" s="1"/>
  <c r="F30" i="2"/>
  <c r="G30" i="2" s="1"/>
  <c r="H30" i="2" s="1"/>
  <c r="F34" i="2"/>
  <c r="G34" i="2" s="1"/>
  <c r="H34" i="2" s="1"/>
  <c r="F20" i="2"/>
  <c r="G20" i="2" s="1"/>
  <c r="H20" i="2" s="1"/>
  <c r="F21" i="2"/>
  <c r="G21" i="2" s="1"/>
  <c r="H21" i="2" s="1"/>
  <c r="F6" i="2"/>
  <c r="G6" i="2" s="1"/>
  <c r="F45" i="2"/>
  <c r="G45" i="2" s="1"/>
  <c r="H45" i="2" s="1"/>
  <c r="H17" i="2" l="1"/>
  <c r="G24" i="2"/>
  <c r="H28" i="2"/>
  <c r="G35" i="2"/>
  <c r="H6" i="2"/>
  <c r="G13" i="2"/>
  <c r="H39" i="2"/>
  <c r="G46" i="2"/>
  <c r="E33" i="3" l="1"/>
  <c r="C10" i="9" s="1"/>
  <c r="C19" i="9" s="1"/>
  <c r="C26" i="9" l="1"/>
  <c r="C33" i="9"/>
  <c r="C9" i="7"/>
  <c r="C12" i="7" s="1"/>
  <c r="C13" i="7" l="1"/>
  <c r="C17" i="7" s="1"/>
  <c r="E35" i="3" s="1"/>
  <c r="E34" i="3"/>
  <c r="E39" i="3" l="1"/>
  <c r="F103" i="1" s="1"/>
  <c r="F104" i="1" s="1"/>
  <c r="E43" i="3" l="1"/>
  <c r="B43" i="3"/>
  <c r="D104" i="1"/>
</calcChain>
</file>

<file path=xl/comments1.xml><?xml version="1.0" encoding="utf-8"?>
<comments xmlns="http://schemas.openxmlformats.org/spreadsheetml/2006/main">
  <authors>
    <author>_</author>
    <author>John McDermott</author>
  </authors>
  <commentList>
    <comment ref="D35" authorId="0" shapeId="0">
      <text>
        <r>
          <rPr>
            <b/>
            <sz val="9"/>
            <color indexed="81"/>
            <rFont val="Tahoma"/>
            <charset val="1"/>
          </rPr>
          <t xml:space="preserve">Qualified Residence Acquisition Indebtedness </t>
        </r>
        <r>
          <rPr>
            <sz val="9"/>
            <color indexed="81"/>
            <rFont val="Tahoma"/>
            <family val="2"/>
          </rPr>
          <t xml:space="preserve">means any indebtedness which is incurred in acquiring, constructing, or substantially improving any qualified  residence of the taxpayer and is secured by such residence.  It also includes any indebtedness secured by such residence resulting from the refinancing of the acquisition indebtedness but only to the extent the amount of the indebtedness resulting from the refinancing does not exceed the amount of the refinanced indebtedness. For indebtedness incurred on or before December 15, 2017, the aggregate amount treated as acquisition indebtedness is limited to $1 million ($500,000 in the case of a married individual filing a separate return).  For indebtedness incurred after December 15, 2017, the aggregate amount is limited to $750,000 ($375,000 for a married individual filing a separate return).
</t>
        </r>
        <r>
          <rPr>
            <b/>
            <sz val="9"/>
            <color indexed="81"/>
            <rFont val="Tahoma"/>
            <family val="2"/>
          </rPr>
          <t>Qualified Residence</t>
        </r>
        <r>
          <rPr>
            <sz val="9"/>
            <color indexed="81"/>
            <rFont val="Tahoma"/>
            <family val="2"/>
          </rPr>
          <t xml:space="preserve"> means your principal residence and one other residence used by you which you select to treat as a qualified residence.
</t>
        </r>
      </text>
    </comment>
    <comment ref="D39" authorId="1" shapeId="0">
      <text>
        <r>
          <rPr>
            <b/>
            <sz val="9"/>
            <color indexed="81"/>
            <rFont val="Tahoma"/>
            <family val="2"/>
          </rPr>
          <t>Home Equity Indebtedness</t>
        </r>
        <r>
          <rPr>
            <sz val="9"/>
            <color indexed="81"/>
            <rFont val="Tahoma"/>
            <family val="2"/>
          </rPr>
          <t xml:space="preserve"> means any indebtedness other than "acquisition indebtedness" secured by a qualified residence. This typically includes second mortgages and home equity lines of credit secured by your home or another residence.  However, a second mortgage or a home equity line of credit might qualifies as acquisition indebtedness if the proceeds of the indebtedness were used to acquire, construct, or substantially improve any qualified residence. Enter here only Home Equity Indebtedness that does not qualify as Acquisition Indebtedness.
</t>
        </r>
      </text>
    </comment>
    <comment ref="G39" authorId="0" shapeId="0">
      <text>
        <r>
          <rPr>
            <sz val="9"/>
            <color indexed="81"/>
            <rFont val="Tahoma"/>
            <family val="2"/>
          </rPr>
          <t xml:space="preserve">If you have Home Equity Indebtedness, you will need to get this information from your financial records.  It is not shown on your return.
</t>
        </r>
      </text>
    </comment>
    <comment ref="D42" authorId="1" shapeId="0">
      <text>
        <r>
          <rPr>
            <b/>
            <sz val="9"/>
            <color indexed="81"/>
            <rFont val="Tahoma"/>
            <family val="2"/>
          </rPr>
          <t>Federally Declared Disaster Area</t>
        </r>
        <r>
          <rPr>
            <sz val="9"/>
            <color indexed="81"/>
            <rFont val="Tahoma"/>
            <family val="2"/>
          </rPr>
          <t xml:space="preserve"> means any area subject to a disaster which has been determined by the President of the United States to warrant assistance by the Federal Government under the Robert T. Stafford Disaster Relief and Emergency Assistance Act. This typically only occurs following severe weather events such as hurricanes, tornados, or floods that cause widespread, extensive damage in a defined area. For an area to be a Federally Declared Disaster Area, the President must declare it so.
</t>
        </r>
      </text>
    </comment>
    <comment ref="D56" authorId="0" shapeId="0">
      <text>
        <r>
          <rPr>
            <sz val="9"/>
            <color indexed="81"/>
            <rFont val="Tahoma"/>
            <charset val="1"/>
          </rPr>
          <t xml:space="preserve">Information for Qualified Business Income (QBI) will be found on 1040 forms C, F, and E.  For purposes of this analysis use net profit for each trade or business activity.  Ignore trades or businesses that have a net loss.  For each trade or business you will need to classify it as either (i) a Specified Service Trade or Business, or (ii) </t>
        </r>
        <r>
          <rPr>
            <u/>
            <sz val="9"/>
            <color indexed="81"/>
            <rFont val="Tahoma"/>
            <family val="2"/>
          </rPr>
          <t>not</t>
        </r>
        <r>
          <rPr>
            <sz val="9"/>
            <color indexed="81"/>
            <rFont val="Tahoma"/>
            <charset val="1"/>
          </rPr>
          <t xml:space="preserve"> a Specified Service Trade of Business.</t>
        </r>
      </text>
    </comment>
    <comment ref="G56" authorId="1" shapeId="0">
      <text>
        <r>
          <rPr>
            <sz val="9"/>
            <color indexed="81"/>
            <rFont val="Tahoma"/>
            <family val="2"/>
          </rPr>
          <t xml:space="preserve">Green shade fill indicates questions for Qualified Trades or Businesses that are </t>
        </r>
        <r>
          <rPr>
            <u/>
            <sz val="9"/>
            <color indexed="81"/>
            <rFont val="Tahoma"/>
            <family val="2"/>
          </rPr>
          <t>not</t>
        </r>
        <r>
          <rPr>
            <sz val="9"/>
            <color indexed="81"/>
            <rFont val="Tahoma"/>
            <family val="2"/>
          </rPr>
          <t xml:space="preserve"> Specified Services
Blue shade fill indicates questions for Specified Service Trades or Businesses
</t>
        </r>
      </text>
    </comment>
    <comment ref="D57" authorId="1" shapeId="0">
      <text>
        <r>
          <rPr>
            <sz val="9"/>
            <color indexed="81"/>
            <rFont val="Tahoma"/>
            <charset val="1"/>
          </rPr>
          <t>"</t>
        </r>
        <r>
          <rPr>
            <b/>
            <sz val="9"/>
            <color indexed="81"/>
            <rFont val="Tahoma"/>
            <family val="2"/>
          </rPr>
          <t>Trade or Business</t>
        </r>
        <r>
          <rPr>
            <sz val="9"/>
            <color indexed="81"/>
            <rFont val="Tahoma"/>
            <charset val="1"/>
          </rPr>
          <t>" is used frequently, but it is not defined in either the Code or the Regulations.  The U.S. Supreme Court has stated "We accept the fact that to be engaged in a trade or business, the taxpayer must be involved in the activity with continuity and regularity and that the taxpayer's primary purpose for engaging in the activity must be for income or profit. A sporadic activity, a hobby, or an amusement diversion does not qualify." For purposes of the Qualified Business Income deduction, the term "</t>
        </r>
        <r>
          <rPr>
            <b/>
            <sz val="9"/>
            <color indexed="81"/>
            <rFont val="Tahoma"/>
            <family val="2"/>
          </rPr>
          <t>Qualified Trade or Business</t>
        </r>
        <r>
          <rPr>
            <sz val="9"/>
            <color indexed="81"/>
            <rFont val="Tahoma"/>
            <charset val="1"/>
          </rPr>
          <t xml:space="preserve">" is used and is defined as "any trade or business other than a specified service trade or business, or  the trade or business of performing services as an employee."  However, if your taxable income is below $415,000 for taxpayers married filing jointly and  $207,500 for all others, specified service trades or businesses are not excluded from Qualified Trade or Business.
</t>
        </r>
      </text>
    </comment>
    <comment ref="D58" authorId="1" shapeId="0">
      <text>
        <r>
          <rPr>
            <b/>
            <sz val="9"/>
            <color indexed="81"/>
            <rFont val="Tahoma"/>
            <family val="2"/>
          </rPr>
          <t>Specified Service Trade or Business</t>
        </r>
        <r>
          <rPr>
            <sz val="9"/>
            <color indexed="81"/>
            <rFont val="Tahoma"/>
            <family val="2"/>
          </rPr>
          <t xml:space="preserve"> means any trade or business involving the performance of services in the fields  of health, law, accounting, actuarial science, performing arts, consulting, athletics, financial services, brokerage services, or any other trade or business where the principal asset of such trade or business is the reputation or skill of one or more of its employees or owners.  It also means any trade or business which involves the performance of services that consist of investing and investment management, trading, or dealing in securities, partnership interests, or commodities. 
</t>
        </r>
        <r>
          <rPr>
            <b/>
            <sz val="9"/>
            <color indexed="81"/>
            <rFont val="Tahoma"/>
            <family val="2"/>
          </rPr>
          <t>Blue shade fill</t>
        </r>
        <r>
          <rPr>
            <sz val="9"/>
            <color indexed="81"/>
            <rFont val="Tahoma"/>
            <family val="2"/>
          </rPr>
          <t xml:space="preserve"> indicates questions related to Specified Service Trades or Businesses
</t>
        </r>
      </text>
    </comment>
    <comment ref="D59" authorId="1" shapeId="0">
      <text>
        <r>
          <rPr>
            <b/>
            <sz val="9"/>
            <color indexed="81"/>
            <rFont val="Tahoma"/>
            <family val="2"/>
          </rPr>
          <t>Qualified Business Income</t>
        </r>
        <r>
          <rPr>
            <sz val="9"/>
            <color indexed="81"/>
            <rFont val="Tahoma"/>
            <family val="2"/>
          </rPr>
          <t xml:space="preserve"> means the net amount of qualified items of income, gain, deduction, and loss to the extent such items are effectively connected with the conduct within the United States of any qualified trade or business of the  taxpayer.  Such term shall not include any qualified REIT dividends, qualified cooperative dividends, or qualified publicly traded partnership income.  The following investment items are not  taken into account as a qualified item of income, gain, deduction, or loss: (i) any item of short-term or long-term capital gain or loss, (ii) any dividend, (iii) interest income  other than interest income which is properly allocable to a trade or business, (iv) any amount received as an annuity which is not received in connection with the trade  or business.
</t>
        </r>
        <r>
          <rPr>
            <b/>
            <sz val="9"/>
            <color indexed="81"/>
            <rFont val="Tahoma"/>
            <family val="2"/>
          </rPr>
          <t xml:space="preserve">Green shade fill </t>
        </r>
        <r>
          <rPr>
            <sz val="9"/>
            <color indexed="81"/>
            <rFont val="Tahoma"/>
            <family val="2"/>
          </rPr>
          <t>indicates questions related to Qualified Trades or Businesses that are not Specified Services Trades or Businesses</t>
        </r>
      </text>
    </comment>
    <comment ref="G59" authorId="0" shapeId="0">
      <text>
        <r>
          <rPr>
            <sz val="9"/>
            <color indexed="81"/>
            <rFont val="Tahoma"/>
            <family val="2"/>
          </rPr>
          <t xml:space="preserve">QBI from each trade or business should be calculated separately.  However, for purposes of this analysis, if you have more than one profitable trade or business that is not a Specified Service, aggregate all QBI from such trades or businesses that have net taxable income.  Do not aggregate with trades or businesses that have net losses.  Enter in the green shaded boxes information related to QBI from trades or businesses that are </t>
        </r>
        <r>
          <rPr>
            <u/>
            <sz val="9"/>
            <color indexed="81"/>
            <rFont val="Tahoma"/>
            <family val="2"/>
          </rPr>
          <t>not</t>
        </r>
        <r>
          <rPr>
            <sz val="9"/>
            <color indexed="81"/>
            <rFont val="Tahoma"/>
            <family val="2"/>
          </rPr>
          <t xml:space="preserve"> from Specified Services.  Because this calculator does not calculate QBI from each trade or business separately, the result may be distorted if you have more than one trade or business.
</t>
        </r>
      </text>
    </comment>
    <comment ref="D60" authorId="1" shapeId="0">
      <text>
        <r>
          <rPr>
            <b/>
            <sz val="9"/>
            <color indexed="81"/>
            <rFont val="Tahoma"/>
            <family val="2"/>
          </rPr>
          <t>Qualified Business Income</t>
        </r>
        <r>
          <rPr>
            <sz val="9"/>
            <color indexed="81"/>
            <rFont val="Tahoma"/>
            <family val="2"/>
          </rPr>
          <t xml:space="preserve"> means the net amount of qualified items of income, gain, deduction, and loss to the extent such items are effectively connected with the conduct within the United States of any qualified trade or business of the  taxpayer.  Such term shall not include any qualified REIT dividends, qualified cooperative dividends, or qualified publicly traded partnership income.  The following investment items are not  taken into account as a qualified item of income, gain, deduction, or loss: (i) any item of short-term or long-term capital gain or loss, (ii) any dividend, (iii) interest income  other than interest income which is properly allocable to a trade or business, (iv) any amount received as an annuity which is not received in connection with the trade  or business.
</t>
        </r>
        <r>
          <rPr>
            <b/>
            <sz val="9"/>
            <color indexed="81"/>
            <rFont val="Tahoma"/>
            <family val="2"/>
          </rPr>
          <t xml:space="preserve">Blue shade fill </t>
        </r>
        <r>
          <rPr>
            <sz val="9"/>
            <color indexed="81"/>
            <rFont val="Tahoma"/>
            <family val="2"/>
          </rPr>
          <t>indicates questions related to Specified Services Trades or Businesses.</t>
        </r>
      </text>
    </comment>
    <comment ref="G60" authorId="0" shapeId="0">
      <text>
        <r>
          <rPr>
            <sz val="9"/>
            <color indexed="81"/>
            <rFont val="Tahoma"/>
            <family val="2"/>
          </rPr>
          <t xml:space="preserve">QBI from each trade or business should be calculated separately.  However, if you have more than one profitable trade or business that is a Specified Service, aggregate all QBI from such trades or businesses that have net taxable income.  Do not aggregate with trades or businesses that have net losses.  Enter in the blue shaded boxes information related to QBI from trades or businesses that are from Specified Services.  Because this calculator does not calculate QBI from each trade or business separately, the result may be distorted if you have more than one trade or business.
</t>
        </r>
      </text>
    </comment>
    <comment ref="D63" authorId="1" shapeId="0">
      <text>
        <r>
          <rPr>
            <b/>
            <sz val="9"/>
            <color indexed="81"/>
            <rFont val="Tahoma"/>
            <family val="2"/>
          </rPr>
          <t>Qualified REIT Dividend</t>
        </r>
        <r>
          <rPr>
            <sz val="9"/>
            <color indexed="81"/>
            <rFont val="Tahoma"/>
            <family val="2"/>
          </rPr>
          <t xml:space="preserve"> means any dividend from a real estate investment trust received during the taxable year which is not a capital gain dividend, and is not qualified dividend income.</t>
        </r>
      </text>
    </comment>
    <comment ref="D64" authorId="1" shapeId="0">
      <text>
        <r>
          <rPr>
            <b/>
            <sz val="9"/>
            <color indexed="81"/>
            <rFont val="Tahoma"/>
            <family val="2"/>
          </rPr>
          <t>Qualified Cooperative Dividend</t>
        </r>
        <r>
          <rPr>
            <sz val="9"/>
            <color indexed="81"/>
            <rFont val="Tahoma"/>
            <family val="2"/>
          </rPr>
          <t xml:space="preserve"> means any patronage dividend, any per-unit retain allocation, and any qualified written notice of allocation or any similar amount includable in gross income and which is received from an organization which is governed by the rules applicable to cooperatives under Title 26 before the enactment of subchapter T.
</t>
        </r>
      </text>
    </comment>
    <comment ref="D65" authorId="1" shapeId="0">
      <text>
        <r>
          <rPr>
            <b/>
            <sz val="9"/>
            <color indexed="81"/>
            <rFont val="Tahoma"/>
            <family val="2"/>
          </rPr>
          <t>Qualified Publicly Traded Partnership Income</t>
        </r>
        <r>
          <rPr>
            <sz val="9"/>
            <color indexed="81"/>
            <rFont val="Tahoma"/>
            <family val="2"/>
          </rPr>
          <t xml:space="preserve"> means the net amount  of your allocable share of each qualified item of income, gain deduction, and loss from a publicly traded partnership which is not treated as a corporation, plus any gain recognized by you upon disposition of your interest in in the partnership to the extent such gain is treated as an amount realized from the sale or exchange of property other than a capital asset under section 751(a).
</t>
        </r>
      </text>
    </comment>
    <comment ref="D66" authorId="1" shapeId="0">
      <text>
        <r>
          <rPr>
            <sz val="9"/>
            <color indexed="81"/>
            <rFont val="Tahoma"/>
            <family val="2"/>
          </rPr>
          <t xml:space="preserve">The information to answer the following questions may not be shown on your tax return.  You may need to get this information from the records of the partnership, limited liability company, or S-corporation from which you receive QBI.
</t>
        </r>
      </text>
    </comment>
    <comment ref="G67" authorId="0" shapeId="0">
      <text>
        <r>
          <rPr>
            <sz val="9"/>
            <color indexed="81"/>
            <rFont val="Tahoma"/>
            <family val="2"/>
          </rPr>
          <t xml:space="preserve">You will need to get this information from the financial records of your trade or business.  It is not shown on your return.
</t>
        </r>
      </text>
    </comment>
    <comment ref="D68" authorId="1" shapeId="0">
      <text>
        <r>
          <rPr>
            <b/>
            <sz val="9"/>
            <color indexed="81"/>
            <rFont val="Tahoma"/>
            <family val="2"/>
          </rPr>
          <t>Qualified Property</t>
        </r>
        <r>
          <rPr>
            <sz val="9"/>
            <color indexed="81"/>
            <rFont val="Tahoma"/>
            <family val="2"/>
          </rPr>
          <t xml:space="preserve"> means tangible property that is subject to depreciation under section 167 which is held by, and available for use in the qualified trade or business at the close of the taxable year, which is used at any point during the taxable year in the production of qualified business income, and the depreciable period for which has not ended before the close of the taxable year.  For this purpose, the depreciable period means the period beginning on the date the property was first placed in service and ending on the later of (i) the date 10 years after such date, or (ii) the last  day of the last full year in the applicable recovery period that would apply to the property under section 168 (determined without regard to the alternative depreciation system of subsection (g) thereof).
</t>
        </r>
      </text>
    </comment>
    <comment ref="G70" authorId="0" shapeId="0">
      <text>
        <r>
          <rPr>
            <sz val="9"/>
            <color indexed="81"/>
            <rFont val="Tahoma"/>
            <family val="2"/>
          </rPr>
          <t xml:space="preserve">You will need to get this information from the financial records of your trade or business.  It is not shown on your return.
</t>
        </r>
      </text>
    </comment>
    <comment ref="D71" authorId="1" shapeId="0">
      <text>
        <r>
          <rPr>
            <b/>
            <sz val="9"/>
            <color indexed="81"/>
            <rFont val="Tahoma"/>
            <family val="2"/>
          </rPr>
          <t>Qualified Property</t>
        </r>
        <r>
          <rPr>
            <sz val="9"/>
            <color indexed="81"/>
            <rFont val="Tahoma"/>
            <family val="2"/>
          </rPr>
          <t xml:space="preserve"> means tangible property that is subject to depreciation under section 167 which is held by, and available for use in the qualified trade or business at the close of the taxable year, which is used at any point during the taxable year in the production of qualified business income, and the depreciable period for which has not ended before the close of the taxable year.  For this purpose, the depreciable period means the period beginning on the date the property was first placed in service and ending on the later of (i) the date 10 years after such date, or (ii) the last  day of the last full year in the applicable recovery period that would apply to the property under section 168 (determined without regard to the alternative depreciation system of subsection (g) thereof).
</t>
        </r>
      </text>
    </comment>
    <comment ref="G89" authorId="0" shapeId="0">
      <text>
        <r>
          <rPr>
            <sz val="9"/>
            <color indexed="81"/>
            <rFont val="Tahoma"/>
            <charset val="1"/>
          </rPr>
          <t xml:space="preserve">This analysis does not make any adjustments for tax on children's unearned income (reported on from 8814) or for tax on lump-sum distributions (reported on from 4972)
</t>
        </r>
      </text>
    </comment>
  </commentList>
</comments>
</file>

<file path=xl/sharedStrings.xml><?xml version="1.0" encoding="utf-8"?>
<sst xmlns="http://schemas.openxmlformats.org/spreadsheetml/2006/main" count="406" uniqueCount="288">
  <si>
    <t xml:space="preserve">2017 Tax Cuts and Jobs Act Analysis </t>
  </si>
  <si>
    <t xml:space="preserve">Single </t>
  </si>
  <si>
    <t>g</t>
  </si>
  <si>
    <t>a</t>
  </si>
  <si>
    <t>b</t>
  </si>
  <si>
    <t>c</t>
  </si>
  <si>
    <t>d</t>
  </si>
  <si>
    <t>e</t>
  </si>
  <si>
    <t>If you itemized deductions answer these questions:</t>
  </si>
  <si>
    <t>f</t>
  </si>
  <si>
    <t>h</t>
  </si>
  <si>
    <t>Enter Amount from 1040 line 40</t>
  </si>
  <si>
    <t>Enter Moving Expenses from 1040 line 26</t>
  </si>
  <si>
    <t>Enter the amount of the Child Tax Credit from 1040 line 52</t>
  </si>
  <si>
    <t>b.</t>
  </si>
  <si>
    <t>c.</t>
  </si>
  <si>
    <t>Tax Calculation</t>
  </si>
  <si>
    <t xml:space="preserve">Taxable Income </t>
  </si>
  <si>
    <t>Tax Rate</t>
  </si>
  <si>
    <t>Income Range</t>
  </si>
  <si>
    <t>Tax on Lower Brackets</t>
  </si>
  <si>
    <t>Total Tax</t>
  </si>
  <si>
    <t>Married Filing Jointly</t>
  </si>
  <si>
    <t xml:space="preserve">&gt; 600,001 </t>
  </si>
  <si>
    <t>Tax on Bracket Income</t>
  </si>
  <si>
    <t>Effective Tax Rate</t>
  </si>
  <si>
    <t>Married Filing Separately</t>
  </si>
  <si>
    <t>Head of Household</t>
  </si>
  <si>
    <t xml:space="preserve">&gt; 453,351 </t>
  </si>
  <si>
    <t xml:space="preserve">&gt; 240,026 </t>
  </si>
  <si>
    <t>Single</t>
  </si>
  <si>
    <t xml:space="preserve">&gt; 426,701 </t>
  </si>
  <si>
    <t>Click on box in next column, then on the down arrow to select filing status</t>
  </si>
  <si>
    <t>Not Answered</t>
  </si>
  <si>
    <t>Calculate An Estimate of How the Tax Act Affects You</t>
  </si>
  <si>
    <t>Adjustment to the Standard Deduction</t>
  </si>
  <si>
    <t>Less 2017 Standard Deduction</t>
  </si>
  <si>
    <t>Add TCJA Standard Deduction</t>
  </si>
  <si>
    <t>Adjusted Standard Deduction</t>
  </si>
  <si>
    <t>Adjustment  Amount</t>
  </si>
  <si>
    <t>Single or Married Filing Separately</t>
  </si>
  <si>
    <t xml:space="preserve"> §63(c)(2) was amended to substitute amounts</t>
  </si>
  <si>
    <t>New</t>
  </si>
  <si>
    <t>Married filing joint and Qualified Widows</t>
  </si>
  <si>
    <t>Married filing separately</t>
  </si>
  <si>
    <t>Old Adjusted for Inflation</t>
  </si>
  <si>
    <t>Standard Deduction Adjustment</t>
  </si>
  <si>
    <t>State and Local Tax</t>
  </si>
  <si>
    <t>Casualty &amp; Theft Losses</t>
  </si>
  <si>
    <t>Miscellaneous Deductions</t>
  </si>
  <si>
    <t>What is the sum of  amounts from 1040 Sch A lines 10, 11, and 12?</t>
  </si>
  <si>
    <t>Home Mortgage Interest</t>
  </si>
  <si>
    <t>Pease Limitation Adjustment</t>
  </si>
  <si>
    <t>Total</t>
  </si>
  <si>
    <t>Moving Expense Adjustments</t>
  </si>
  <si>
    <t>Moving Expense Reimbursement</t>
  </si>
  <si>
    <t>Enter the amount you received from your employer as reimbursement for moving expenses.</t>
  </si>
  <si>
    <t>Bicycle commuting expense</t>
  </si>
  <si>
    <t>Number of Qualifying Children</t>
  </si>
  <si>
    <t>Recalculated AGI</t>
  </si>
  <si>
    <t>AGI Limitation</t>
  </si>
  <si>
    <t>Filing Status</t>
  </si>
  <si>
    <t>Tentative Credit</t>
  </si>
  <si>
    <t>Initial Credit Amount</t>
  </si>
  <si>
    <t>Allowable Credit</t>
  </si>
  <si>
    <t>Enter sum of 1040 lines 48, 49, 50, and 51</t>
  </si>
  <si>
    <t>Enter amount from form 8936, line 23</t>
  </si>
  <si>
    <t>Enter amount from form 8910, line 15</t>
  </si>
  <si>
    <t>Enter amount from Schedule R, Line 22</t>
  </si>
  <si>
    <t>Enter AGI from 1040 line 37</t>
  </si>
  <si>
    <t>Sum of Other  Tax Credits</t>
  </si>
  <si>
    <t>Recalculated Tax</t>
  </si>
  <si>
    <t>Credit Limitation</t>
  </si>
  <si>
    <t>Recalculated Taxable Income</t>
  </si>
  <si>
    <t>d.</t>
  </si>
  <si>
    <t>Recalculated Tax  (line 44)</t>
  </si>
  <si>
    <t>Enter Taxable Income from 1040 line 43</t>
  </si>
  <si>
    <t>Enter Tax from 1040 line 44</t>
  </si>
  <si>
    <t>Enter Alternative Minimum Tax from 1040 line 45</t>
  </si>
  <si>
    <t>Enter Child Tax Credit from 1040 line 52</t>
  </si>
  <si>
    <t>Enter Total Credits from 1040 line 55</t>
  </si>
  <si>
    <t>Enter Healthcare: Individual Responsibility from 1040 line 61</t>
  </si>
  <si>
    <t>Enter Total Tax from 1040 line 63</t>
  </si>
  <si>
    <t>Enter State and local taxes from 1040 Schedule A line 9</t>
  </si>
  <si>
    <t>Enter state and local taxes from 1040 Schedule  A Line 9</t>
  </si>
  <si>
    <t>Enter the Casualty and Theft Losses from 1040 Sch A line 20</t>
  </si>
  <si>
    <t>Enter Job Expenses and Miscellaneous Deductions from 1040 Sch A line 27</t>
  </si>
  <si>
    <t>Enter Home Mortgage Interest Adjustment from form 6251 line 4</t>
  </si>
  <si>
    <t>Enter amount from form 6251 line 6</t>
  </si>
  <si>
    <t>Adjustments to Alternative Minimum Taxable Income</t>
  </si>
  <si>
    <t>AMTI per 6251 line 28</t>
  </si>
  <si>
    <t>Enter amount from form 6251 line 6 (enter as a positive amount)</t>
  </si>
  <si>
    <t>Adjusted AMTI</t>
  </si>
  <si>
    <t>Exclusion</t>
  </si>
  <si>
    <t>Phaseout Threshold</t>
  </si>
  <si>
    <t>Phaseout</t>
  </si>
  <si>
    <t>Single/Head of Household</t>
  </si>
  <si>
    <t>Completed Phaseout</t>
  </si>
  <si>
    <t>Applicable Exclusion</t>
  </si>
  <si>
    <t>Applicable Exclusion Amount</t>
  </si>
  <si>
    <t>2017 TCJA Adjusted AMT</t>
  </si>
  <si>
    <t>Taxable Amount</t>
  </si>
  <si>
    <t>Taxable Income</t>
  </si>
  <si>
    <t>f.</t>
  </si>
  <si>
    <t>Enter net capital gain from Form 1040 Schedule D, Line 16 (enter only if line 16 is positive)</t>
  </si>
  <si>
    <t>Qualified REIT Dividends</t>
  </si>
  <si>
    <t>Qualified Cooperative Dividends</t>
  </si>
  <si>
    <t>Qualified Publically Traded Partnership Income</t>
  </si>
  <si>
    <t>Qualified Business Income Deduction</t>
  </si>
  <si>
    <t>a.</t>
  </si>
  <si>
    <t>e.</t>
  </si>
  <si>
    <t>Did you claim a Child Tax Credit?</t>
  </si>
  <si>
    <t>Combined qualified business income amount</t>
  </si>
  <si>
    <t>Taxable income  of the Taxpayer</t>
  </si>
  <si>
    <t>Less:</t>
  </si>
  <si>
    <t>net capital gain</t>
  </si>
  <si>
    <t>aggregate amount of qualified coopertive dividends</t>
  </si>
  <si>
    <t>Lesser of A or B</t>
  </si>
  <si>
    <t>Aggregate amount of the qualified cooperative dividends</t>
  </si>
  <si>
    <t>Less: net capital gain</t>
  </si>
  <si>
    <t>PLUS</t>
  </si>
  <si>
    <t>Qualified Business Income Deductible Amount</t>
  </si>
  <si>
    <t>Combined Qualified Business Income Amount</t>
  </si>
  <si>
    <t>Qualified Publicaly traded Partnership Income</t>
  </si>
  <si>
    <t>W-2 Wages of QTB</t>
  </si>
  <si>
    <t>50% of Wages of QTB</t>
  </si>
  <si>
    <t>25% of Wages of QTB</t>
  </si>
  <si>
    <t>2.5% of unadjusted Basis</t>
  </si>
  <si>
    <t>Unadjusted Basis Immediately after acquisition of all qualifed property</t>
  </si>
  <si>
    <r>
      <t xml:space="preserve">Sum of All </t>
    </r>
    <r>
      <rPr>
        <sz val="11"/>
        <color theme="1"/>
        <rFont val="Calibri"/>
        <family val="2"/>
      </rPr>
      <t>§ 2 Amounts</t>
    </r>
  </si>
  <si>
    <t>§ 2 Amounts</t>
  </si>
  <si>
    <t>Total  REIT and PTPI</t>
  </si>
  <si>
    <t>20% of QBI</t>
  </si>
  <si>
    <t>1A</t>
  </si>
  <si>
    <t>1B</t>
  </si>
  <si>
    <t>2A</t>
  </si>
  <si>
    <t>2B</t>
  </si>
  <si>
    <t>QBI Deductible Amount</t>
  </si>
  <si>
    <t>QBIT Deduction not to exceed Taxable Income less net capital gain</t>
  </si>
  <si>
    <t>Tentative QBI Deduction</t>
  </si>
  <si>
    <t>(b)(1)(A)</t>
  </si>
  <si>
    <t>(b)(1)(B)</t>
  </si>
  <si>
    <t>Combined QBI Amount</t>
  </si>
  <si>
    <t>(b)(2)(A)</t>
  </si>
  <si>
    <t>(b)(2)(B)(i)</t>
  </si>
  <si>
    <t>(b)(2)(B)(ii)</t>
  </si>
  <si>
    <t>(b)(2)(B)</t>
  </si>
  <si>
    <t>Greater  of (i)  or (ii)</t>
  </si>
  <si>
    <t>CQBI</t>
  </si>
  <si>
    <t>QBI Not From Specified Services Trades or Businesses</t>
  </si>
  <si>
    <t>QBI From Specified Services Trades or Businesses</t>
  </si>
  <si>
    <t>Qualified Business Deduction</t>
  </si>
  <si>
    <t>QBI (Not Specified Services)</t>
  </si>
  <si>
    <t>QBI from Specified Servies</t>
  </si>
  <si>
    <t>Qualified Business Income  (Not from Specified Services)</t>
  </si>
  <si>
    <t>Net Capital Gain</t>
  </si>
  <si>
    <t>Cooperative Dividends</t>
  </si>
  <si>
    <t>REIT Dividends</t>
  </si>
  <si>
    <t>Publically Traded Partnership</t>
  </si>
  <si>
    <t>Values from Interview</t>
  </si>
  <si>
    <t>W-2 Wages</t>
  </si>
  <si>
    <t>Unadjusted Basis of  Property</t>
  </si>
  <si>
    <t>All Others</t>
  </si>
  <si>
    <t>MFJ</t>
  </si>
  <si>
    <t>Married Filing jointly</t>
  </si>
  <si>
    <t>Adjustments to AGI</t>
  </si>
  <si>
    <t>Adjustments to Itemized Deductions</t>
  </si>
  <si>
    <t>i.</t>
  </si>
  <si>
    <t>Fee paid for right to buy tickets</t>
  </si>
  <si>
    <t>Adjustments to Trade or Business Income</t>
  </si>
  <si>
    <t>Entertainment Expenses</t>
  </si>
  <si>
    <t>Recalculated Alternative  Minimum Tax</t>
  </si>
  <si>
    <t>Total Credits as Claimed on 1040 line 55</t>
  </si>
  <si>
    <t>Elimination of Individual Responsibility Healthcare Tax</t>
  </si>
  <si>
    <t>Enter amount from 1040 line 56</t>
  </si>
  <si>
    <t>Total Recalculated Tax under the 2017 Tax Cuts and Jobs Creation Act</t>
  </si>
  <si>
    <t>Additional Child Tax Credit</t>
  </si>
  <si>
    <t>Permitted Allowable Credit</t>
  </si>
  <si>
    <t>Total Recalculated Tax Liability under the 2017 Tax Cuts and Jobs Act</t>
  </si>
  <si>
    <t>Recalculation of Adjusted Gross Income</t>
  </si>
  <si>
    <t>Recalculation of Deductions</t>
  </si>
  <si>
    <t>2017 Standard Deduction</t>
  </si>
  <si>
    <t>Total Home Mortgage Interest (sum of Sch A lines 10, 11 and 12)</t>
  </si>
  <si>
    <t>Total Principal Balance of all Home Mortgage Indebtedness as of 12/31/2017</t>
  </si>
  <si>
    <t>Home Mortgage Indebtedness incurred after 12/15/2017</t>
  </si>
  <si>
    <t>Adjustments to Qualified Residence Acquisition Indebtedness (Home Mortgage) Interest</t>
  </si>
  <si>
    <t>definitiions</t>
  </si>
  <si>
    <r>
      <rPr>
        <b/>
        <sz val="11"/>
        <color theme="1"/>
        <rFont val="Calibri"/>
        <family val="2"/>
        <scheme val="minor"/>
      </rPr>
      <t>Qualified Residence Acquisition Indebtedness</t>
    </r>
    <r>
      <rPr>
        <sz val="11"/>
        <color theme="1"/>
        <rFont val="Calibri"/>
        <family val="2"/>
        <scheme val="minor"/>
      </rPr>
      <t xml:space="preserve"> means any indebtedness which is incurred in acquiring, constructing, or substantially improving any qualified  residence of the taxpayer and is secured by such residence.  It also includes any indebtedness secured by such residence resulting from the refinancing of the acquisition indebtedness but only to the extent the amount of the indebtedness resulting from the refinancing does not exceed the amount of the refinanced indebtedness. For indebtedness incurred on or before December 15, 2017, the aggregate amount treated as acquisition indebtedness is limited to $1 million ($500,000 in the case of a married individual filing a separate return).  For indebtedness incurred after December 15, 2017, the aggregate amount is limited to $750,000 ($375,000 for a married individual filing a separate return).</t>
    </r>
  </si>
  <si>
    <r>
      <rPr>
        <b/>
        <sz val="11"/>
        <color theme="1"/>
        <rFont val="Calibri"/>
        <family val="2"/>
        <scheme val="minor"/>
      </rPr>
      <t>Home Equity Indebtedness</t>
    </r>
    <r>
      <rPr>
        <sz val="11"/>
        <color theme="1"/>
        <rFont val="Calibri"/>
        <family val="2"/>
        <scheme val="minor"/>
      </rPr>
      <t xml:space="preserve"> means any indebtedness other than "acquisition indebtedness" secured by a qualified residence. This typically includes second mortgages and home equity lines of credit secured by your home or other residence.  However, a second mortgage or a home equity line of credit may be considered acquisition indebtedness if the proceeds of the indebtedness were used to acquire, construct, or substantially improve any qualified residence. </t>
    </r>
  </si>
  <si>
    <r>
      <rPr>
        <b/>
        <sz val="11"/>
        <color theme="1"/>
        <rFont val="Calibri"/>
        <family val="2"/>
        <scheme val="minor"/>
      </rPr>
      <t>Qualified Residence</t>
    </r>
    <r>
      <rPr>
        <sz val="11"/>
        <color theme="1"/>
        <rFont val="Calibri"/>
        <family val="2"/>
        <scheme val="minor"/>
      </rPr>
      <t xml:space="preserve"> means your principal residence and one other residence used by you which you select to be a qualified residence.</t>
    </r>
  </si>
  <si>
    <r>
      <rPr>
        <b/>
        <sz val="11"/>
        <color theme="1"/>
        <rFont val="Calibri"/>
        <family val="2"/>
        <scheme val="minor"/>
      </rPr>
      <t>Federally Declared Disaster Area</t>
    </r>
    <r>
      <rPr>
        <sz val="11"/>
        <color theme="1"/>
        <rFont val="Calibri"/>
        <family val="2"/>
        <scheme val="minor"/>
      </rPr>
      <t xml:space="preserve"> means any area subject to a disaster which has been determined by the President of the United States to warrant assistance by the Federal Government under the Robert T. Stafford Disaster Relief and Emergency Assistance Act. This typically only occurs following severe weather events such as hurricanes, tornados, or floods that cause widespread, extensive damage in a defined area. For an area to be a Federally Declared Disaster Area, the President must declare it so.</t>
    </r>
  </si>
  <si>
    <r>
      <t>"</t>
    </r>
    <r>
      <rPr>
        <b/>
        <sz val="11"/>
        <color theme="1"/>
        <rFont val="Calibri"/>
        <family val="2"/>
        <scheme val="minor"/>
      </rPr>
      <t>Trade or Business</t>
    </r>
    <r>
      <rPr>
        <sz val="11"/>
        <color theme="1"/>
        <rFont val="Calibri"/>
        <family val="2"/>
        <scheme val="minor"/>
      </rPr>
      <t>" is used frequently, but it is not defined in either the Code or the Regulations.  The U.S. Supreme Court has stated "We accept the fact that to be engaged in a trade or business, the taxpayer must be involved in the activity with continuity and regularity and that the taxpayer's primary purpose for engaging in the activity must be for income or profit. A sporadic activity, a hobby, or an amusement diversion does not qualify." For purposes of the Qualified Business Income deduction, the term "</t>
    </r>
    <r>
      <rPr>
        <b/>
        <sz val="11"/>
        <color theme="1"/>
        <rFont val="Calibri"/>
        <family val="2"/>
        <scheme val="minor"/>
      </rPr>
      <t>Qualified Trade or Business</t>
    </r>
    <r>
      <rPr>
        <sz val="11"/>
        <color theme="1"/>
        <rFont val="Calibri"/>
        <family val="2"/>
        <scheme val="minor"/>
      </rPr>
      <t>" is used and is defined as "any trade or business other than a specified service trade or business, or  the trade or business of performing services as an employee."  However, if your taxable income is below the threshold amounts ($415,000 for taxpayers married filing jointly and  $207,500 for all others), specified service trade or business are not excluded from Qualified Trade or Business.</t>
    </r>
  </si>
  <si>
    <r>
      <t xml:space="preserve"> </t>
    </r>
    <r>
      <rPr>
        <b/>
        <sz val="11"/>
        <color theme="1"/>
        <rFont val="Calibri"/>
        <family val="2"/>
        <scheme val="minor"/>
      </rPr>
      <t>Qualified Business Income</t>
    </r>
    <r>
      <rPr>
        <sz val="11"/>
        <color theme="1"/>
        <rFont val="Calibri"/>
        <family val="2"/>
        <scheme val="minor"/>
      </rPr>
      <t xml:space="preserve"> means the net amount of qualified items of income, gain, deduction, and loss  to the extent such items are effectively connected with the conduct within the United States of any qualified trade  or business of the  taxpayer.  Such term shall not include any qualified REIT dividends, qualified cooperative dividends, or qualified publicly traded partnership income.  The following investment items are not  taken into account as a qualified item of income, gain, deduction, or loss: (i) any item of short-term or long-term capital gain or loss, (ii) any dividend, (iii) interest income  other than interest  income which is properly allocable to a trade or business, (iv) any amount received as an annuity which is not received in connection with the trade  or business.</t>
    </r>
  </si>
  <si>
    <r>
      <rPr>
        <b/>
        <sz val="11"/>
        <color theme="1"/>
        <rFont val="Calibri"/>
        <family val="2"/>
        <scheme val="minor"/>
      </rPr>
      <t>Specified Service Trade or Business</t>
    </r>
    <r>
      <rPr>
        <sz val="11"/>
        <color theme="1"/>
        <rFont val="Calibri"/>
        <family val="2"/>
        <scheme val="minor"/>
      </rPr>
      <t xml:space="preserve"> means any trade or business involving the performance of services in the fields of health, law, accounting, actuarial science, performing arts, consulting, athletics, financial services, or any other trade or business where the principal asset of such trade or business is the reputation or skill of one or more of its employees.</t>
    </r>
  </si>
  <si>
    <r>
      <rPr>
        <b/>
        <sz val="11"/>
        <color theme="1"/>
        <rFont val="Calibri"/>
        <family val="2"/>
        <scheme val="minor"/>
      </rPr>
      <t xml:space="preserve">Qualified REIT Dividend </t>
    </r>
    <r>
      <rPr>
        <sz val="11"/>
        <color theme="1"/>
        <rFont val="Calibri"/>
        <family val="2"/>
        <scheme val="minor"/>
      </rPr>
      <t>means any dividend from a real estate investment trust  received during the taxable year which is not a capital gain dividend, and is not qualified dividend income.</t>
    </r>
  </si>
  <si>
    <r>
      <rPr>
        <b/>
        <sz val="11"/>
        <color theme="1"/>
        <rFont val="Calibri"/>
        <family val="2"/>
        <scheme val="minor"/>
      </rPr>
      <t xml:space="preserve">Qualified Cooperative Dividend </t>
    </r>
    <r>
      <rPr>
        <sz val="11"/>
        <color theme="1"/>
        <rFont val="Calibri"/>
        <family val="2"/>
        <scheme val="minor"/>
      </rPr>
      <t>means any patronage dividend, any per-unit retain allocation, and any qualified written notice of allocation or any similar amount includable in gross  income and which is received from an organization which is governed by the rules applicable to cooperatives under Title 26 before the enactment of subchapter T.</t>
    </r>
  </si>
  <si>
    <r>
      <rPr>
        <b/>
        <sz val="11"/>
        <color theme="1"/>
        <rFont val="Calibri"/>
        <family val="2"/>
        <scheme val="minor"/>
      </rPr>
      <t>Qualified Publicly Traded Partnership Income</t>
    </r>
    <r>
      <rPr>
        <sz val="11"/>
        <color theme="1"/>
        <rFont val="Calibri"/>
        <family val="2"/>
        <scheme val="minor"/>
      </rPr>
      <t xml:space="preserve"> means the net amount  of your allocable share of each qualified item of income, gain deduction, and loss from a publicly traded partnership which is not treated as a corporation, plus any gain recognized by you upon disposition of your interest in in the partnership to the extent such gain is treated as an amount realized from the sale or exchange of property other than a capital asset under section 751(a).</t>
    </r>
  </si>
  <si>
    <r>
      <rPr>
        <b/>
        <sz val="11"/>
        <color theme="1"/>
        <rFont val="Calibri"/>
        <family val="2"/>
        <scheme val="minor"/>
      </rPr>
      <t xml:space="preserve">Qualified Property </t>
    </r>
    <r>
      <rPr>
        <sz val="11"/>
        <color theme="1"/>
        <rFont val="Calibri"/>
        <family val="2"/>
        <scheme val="minor"/>
      </rPr>
      <t>means  tangible  property that is subject to depreciation under section 167 which is held by, and available  for  use in the qualified trade or business at the close of the taxable year, which is used at any point during the taxable year in the production of qualified business income, and the depreciable period for which has not ended before the close of the taxable year.  For this purpose, the depreciable period means the period beginning on the date the  property was first placed in service and ending on the later of (i) the date 10 years after such date, or (ii) the last  day of the last full year  in the applicable recovery period that would apply to the property under section 168 (determined without regard to the alternative depreciation system of subsection (g) thereof).</t>
    </r>
  </si>
  <si>
    <r>
      <rPr>
        <b/>
        <sz val="11"/>
        <color theme="1"/>
        <rFont val="Calibri"/>
        <family val="2"/>
        <scheme val="minor"/>
      </rPr>
      <t>Specified Service Trade or Business</t>
    </r>
    <r>
      <rPr>
        <sz val="11"/>
        <color theme="1"/>
        <rFont val="Calibri"/>
        <family val="2"/>
        <scheme val="minor"/>
      </rPr>
      <t xml:space="preserve"> means , with respect to any person whose taxable  income is not more than $207,500 ($415,000 for married filing jointly), any trade or business involving the performance of services in the fields  of health, law, accounting, actuarial science, performing arts, consulting, athletics, financial services, brokerage services, or any other tradeor business where the principal asset of such trade or business is the reputation or skill of one or more of its employees or owners, or any trade or business which involves the performcnace of servies that consist  of investing and innvestment management, trading, or dealing in securities, partnership interests, or commodities. Note that if your taxable income is not more than $207,500 ($415,000 if you are married filing jointly), you are not  considered to be engaged in a Specified Service Trade or Business.</t>
    </r>
  </si>
  <si>
    <r>
      <t xml:space="preserve">Did you engage in a </t>
    </r>
    <r>
      <rPr>
        <sz val="11"/>
        <color rgb="FFC00000"/>
        <rFont val="Calibri"/>
        <family val="2"/>
        <scheme val="minor"/>
      </rPr>
      <t>Specified Service Trade or Business</t>
    </r>
    <r>
      <rPr>
        <sz val="11"/>
        <color theme="1"/>
        <rFont val="Calibri"/>
        <family val="2"/>
        <scheme val="minor"/>
      </rPr>
      <t>?</t>
    </r>
  </si>
  <si>
    <r>
      <t xml:space="preserve">Enter the total of your </t>
    </r>
    <r>
      <rPr>
        <sz val="11"/>
        <color rgb="FFC00000"/>
        <rFont val="Calibri"/>
        <family val="2"/>
        <scheme val="minor"/>
      </rPr>
      <t>Qualified Business Income</t>
    </r>
    <r>
      <rPr>
        <sz val="11"/>
        <color theme="1"/>
        <rFont val="Calibri"/>
        <family val="2"/>
        <scheme val="minor"/>
      </rPr>
      <t xml:space="preserve"> from all Specified Service Trades or Businesses</t>
    </r>
  </si>
  <si>
    <t>Enter Job Expenses and Miscellaneous Deductions from 1040 Sch A line 27.</t>
  </si>
  <si>
    <t>Enter the amount you deducted as a charitable contribution that was paid to an educational institution for the right to purchase tickets for an athletic event in a stadium at that institution.</t>
  </si>
  <si>
    <t>Were all of the Moving Expenses incurred while you or a member of your family was a person then serving in the Armed Forces of the U.S.?</t>
  </si>
  <si>
    <r>
      <t xml:space="preserve">Did you engage in any </t>
    </r>
    <r>
      <rPr>
        <sz val="11"/>
        <color rgb="FFC00000"/>
        <rFont val="Calibri"/>
        <family val="2"/>
        <scheme val="minor"/>
      </rPr>
      <t>Trade or Business</t>
    </r>
    <r>
      <rPr>
        <sz val="11"/>
        <color theme="1"/>
        <rFont val="Calibri"/>
        <family val="2"/>
        <scheme val="minor"/>
      </rPr>
      <t xml:space="preserve"> other than performing services as an employee?</t>
    </r>
  </si>
  <si>
    <r>
      <t xml:space="preserve">Enter the amount of Casualty Losses from 1040 Sch A line 20 that were attributable to losses in a </t>
    </r>
    <r>
      <rPr>
        <sz val="11"/>
        <color rgb="FFC00000"/>
        <rFont val="Calibri"/>
        <family val="2"/>
        <scheme val="minor"/>
      </rPr>
      <t>Federally Declared Disaster Area</t>
    </r>
  </si>
  <si>
    <t>Enter the amount of any bicycle commuting expense reimbursement you received from your employer</t>
  </si>
  <si>
    <t>Enter amount from form 5695, line 30</t>
  </si>
  <si>
    <t>% Of QTB</t>
  </si>
  <si>
    <t>Credit Claimed on Return</t>
  </si>
  <si>
    <t>Additional Credit</t>
  </si>
  <si>
    <t>Sum of 25% Wages plus Basis</t>
  </si>
  <si>
    <t>REPORT OF ADJUSTMENTS UNDER THE 2017 TAX CUTS AND JOBS ACT</t>
  </si>
  <si>
    <t>SUMMARY</t>
  </si>
  <si>
    <t xml:space="preserve">Recalculated Regular Tax </t>
  </si>
  <si>
    <t>Enter amount from form 6251 line 28</t>
  </si>
  <si>
    <t>Was the reimbursement received for Moving Expenses incurred while you or a member of you family was a person then serving in the Armed Forces of the U.S.?</t>
  </si>
  <si>
    <t xml:space="preserve"> Other Taxes </t>
  </si>
  <si>
    <r>
      <t xml:space="preserve">How much of the interest you deducted on Sch A lines 10 ,11, and 12 was for </t>
    </r>
    <r>
      <rPr>
        <sz val="11"/>
        <color rgb="FFC00000"/>
        <rFont val="Calibri"/>
        <family val="2"/>
        <scheme val="minor"/>
      </rPr>
      <t xml:space="preserve">Home Equity Indebtedness </t>
    </r>
    <r>
      <rPr>
        <sz val="11"/>
        <color theme="1"/>
        <rFont val="Calibri"/>
        <family val="2"/>
        <scheme val="minor"/>
      </rPr>
      <t>?</t>
    </r>
  </si>
  <si>
    <t>Enter  the total principal balance of all qualified residence acquisition indebtedness as of December 31, 2017.</t>
  </si>
  <si>
    <t>Enter the amount  of  qualified residence acquisition indebtedness incurred after December 15, 2017.</t>
  </si>
  <si>
    <t>Pre 12/15/2017 Acquisition indebtedness</t>
  </si>
  <si>
    <t>Married  filing Separately</t>
  </si>
  <si>
    <t>All Other Filers</t>
  </si>
  <si>
    <t>2017 TCJA Cap  on Acquisition Indebtedness (lesser of Grandfathered cap or $750,000, or $375K if married filing separately)</t>
  </si>
  <si>
    <r>
      <t xml:space="preserve">Did you acquire </t>
    </r>
    <r>
      <rPr>
        <sz val="11"/>
        <color rgb="FFC00000"/>
        <rFont val="Calibri"/>
        <family val="2"/>
        <scheme val="minor"/>
      </rPr>
      <t>Qualified Residence Acquisition Indebtedness</t>
    </r>
    <r>
      <rPr>
        <sz val="11"/>
        <color theme="1"/>
        <rFont val="Calibri"/>
        <family val="2"/>
        <scheme val="minor"/>
      </rPr>
      <t xml:space="preserve"> after December 15, 2017?  If yes, and if the total of qualified residence acquisition indebtedness is greater then $750,000 ($375,000 if married filing separately), enter the following amounts:</t>
    </r>
  </si>
  <si>
    <r>
      <t xml:space="preserve">Enter the total of your </t>
    </r>
    <r>
      <rPr>
        <sz val="11"/>
        <color rgb="FFC00000"/>
        <rFont val="Calibri"/>
        <family val="2"/>
        <scheme val="minor"/>
      </rPr>
      <t>Qualified Business Income</t>
    </r>
    <r>
      <rPr>
        <sz val="11"/>
        <color theme="1"/>
        <rFont val="Calibri"/>
        <family val="2"/>
        <scheme val="minor"/>
      </rPr>
      <t xml:space="preserve"> from all Trades or Business </t>
    </r>
    <r>
      <rPr>
        <i/>
        <sz val="11"/>
        <color theme="1"/>
        <rFont val="Calibri"/>
        <family val="2"/>
        <scheme val="minor"/>
      </rPr>
      <t>other than</t>
    </r>
    <r>
      <rPr>
        <sz val="11"/>
        <color theme="1"/>
        <rFont val="Calibri"/>
        <family val="2"/>
        <scheme val="minor"/>
      </rPr>
      <t xml:space="preserve"> from a Specified Service Trade or Business</t>
    </r>
  </si>
  <si>
    <t>Lesser of 1A or 1B</t>
  </si>
  <si>
    <t>Lesser of 2A or 2B</t>
  </si>
  <si>
    <t>QBI from Specified Services Trades or Businesses</t>
  </si>
  <si>
    <r>
      <t xml:space="preserve">Enter the total unadjusted basis of </t>
    </r>
    <r>
      <rPr>
        <sz val="11"/>
        <color rgb="FFC00000"/>
        <rFont val="Calibri"/>
        <family val="2"/>
        <scheme val="minor"/>
      </rPr>
      <t>Qualified Property</t>
    </r>
    <r>
      <rPr>
        <sz val="11"/>
        <color theme="1"/>
        <rFont val="Calibri"/>
        <family val="2"/>
        <scheme val="minor"/>
      </rPr>
      <t xml:space="preserve"> used in the Specified Services QTB</t>
    </r>
  </si>
  <si>
    <t>Enter the total W-2 wages paid by the QTB (other than Specified Services QTB)</t>
  </si>
  <si>
    <r>
      <t xml:space="preserve">Enter the total unadjusted basis of </t>
    </r>
    <r>
      <rPr>
        <sz val="11"/>
        <color rgb="FFC00000"/>
        <rFont val="Calibri"/>
        <family val="2"/>
        <scheme val="minor"/>
      </rPr>
      <t>Qualified Property</t>
    </r>
    <r>
      <rPr>
        <sz val="11"/>
        <color theme="1"/>
        <rFont val="Calibri"/>
        <family val="2"/>
        <scheme val="minor"/>
      </rPr>
      <t xml:space="preserve"> used in the QTB (other  than Specified Services QTB)</t>
    </r>
  </si>
  <si>
    <t>Enter your % share of ownership interest of the QTB (other than Specified Services QTB)</t>
  </si>
  <si>
    <t>QTB (Not Specified Services)</t>
  </si>
  <si>
    <t>Specified Services QTB</t>
  </si>
  <si>
    <t>see colums to right</t>
  </si>
  <si>
    <t>All Other Statuses</t>
  </si>
  <si>
    <t>Threshold Limitation</t>
  </si>
  <si>
    <t>Excess Amount if 2A &gt; 2B</t>
  </si>
  <si>
    <t xml:space="preserve">What was your filing status? </t>
  </si>
  <si>
    <t xml:space="preserve">Did you use the standard deduction?                                          </t>
  </si>
  <si>
    <t>Enter the total W-2 wages paid by the Specified Services QTB for the tax year.</t>
  </si>
  <si>
    <t>Enter the Personal Exemptions amount from 1040 line 42</t>
  </si>
  <si>
    <t>Enter the aggregate amounts of the following items you received in the tax year.</t>
  </si>
  <si>
    <t>What is the sum of  amounts from 1040 Sch A lines 4, 9, 15, 19, 20,27, and 28?</t>
  </si>
  <si>
    <t>g.</t>
  </si>
  <si>
    <t>Switch from Itemized to Standard Deduction</t>
  </si>
  <si>
    <t>Adjustment for Switch from Itemized to Standard Deduction</t>
  </si>
  <si>
    <t xml:space="preserve">Amount  from 1040 Line  40 or Adjusted Itemized Deductions </t>
  </si>
  <si>
    <t>Enter your % share of ownership interest of the Specified Services QTB</t>
  </si>
  <si>
    <t>Additional Instructions</t>
  </si>
  <si>
    <t>Enter entertainment expenses, and fees for facility charges related to entertainment you deducted as a trade or business expense (do not include amounts deducted as a Miscellaneous Expense on Schedule A, line 27)</t>
  </si>
  <si>
    <t>Personal Exemption Adjustment</t>
  </si>
  <si>
    <t>If your taxable income is greater than  $315,000 if married filing jointly, or greater than $157,500 for all other filing statuses, enter the following amounts.</t>
  </si>
  <si>
    <t>Enter amounts in these cells only if you answered Yes to 6.c</t>
  </si>
  <si>
    <t xml:space="preserve">Are you subject to Alternative Minimum Tax (did you file form 6251)?                 </t>
  </si>
  <si>
    <t>If a line item in this column does not pertain to you, you may either enter 0 or leave it blank.</t>
  </si>
  <si>
    <t>Disallowed Interest</t>
  </si>
  <si>
    <t>Grandfathered Debt (up to $1 million, or 500K if married  filing separately)</t>
  </si>
  <si>
    <t>Enter the amount of interest you deducted on the qualified residence acquisition indebtedness acquired after December 15, 2017.</t>
  </si>
  <si>
    <t>Interest deducted on Debt incurred after 12/15/2017</t>
  </si>
  <si>
    <t>(b)(3)(B) Phase In Reduction</t>
  </si>
  <si>
    <t>(b)(3)(A) Exception</t>
  </si>
  <si>
    <t>20% QBI</t>
  </si>
  <si>
    <t>(b)(2)(B)  Amount</t>
  </si>
  <si>
    <t xml:space="preserve">Married Filing Jtly §199A(d)(3) Exception from Specified Service       </t>
  </si>
  <si>
    <t xml:space="preserve">All Others §199A(d)(3) Exception from Specified Service       </t>
  </si>
  <si>
    <t>Not Selected</t>
  </si>
  <si>
    <t>Click on boxes in this column, then on the down arrow to answer questions.</t>
  </si>
  <si>
    <t xml:space="preserve">2017 Taxable Income </t>
  </si>
  <si>
    <t>Total Adjustments to AGI</t>
  </si>
  <si>
    <t>Are you over age 65?</t>
  </si>
  <si>
    <t>Is your spouse over age 65?</t>
  </si>
  <si>
    <t>Are you blind?</t>
  </si>
  <si>
    <t>Is your Spouse blind?</t>
  </si>
  <si>
    <t>Enter amounts in these cells only if you answered Yes to 13</t>
  </si>
  <si>
    <t>Enter amounts only if you answered Yes to 14</t>
  </si>
  <si>
    <t>Adjustments for over age 65 and/or blind</t>
  </si>
  <si>
    <t>self</t>
  </si>
  <si>
    <t>spouse</t>
  </si>
  <si>
    <t>&gt; age 65</t>
  </si>
  <si>
    <t>Blind</t>
  </si>
  <si>
    <t>Totals</t>
  </si>
  <si>
    <t>Please Note</t>
  </si>
  <si>
    <t>Taxable Income Before QBI Deduction</t>
  </si>
  <si>
    <t>Qualifying Business Income Deduction</t>
  </si>
  <si>
    <t>Enter the number of qualifying children you can 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</si>
</sst>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0.0000%"/>
    <numFmt numFmtId="165" formatCode="0.00000%"/>
    <numFmt numFmtId="166" formatCode="[$$-409]#,##0_);\([$$-409]#,##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color rgb="FFFF0000"/>
      <name val="Calibri"/>
      <family val="2"/>
      <scheme val="minor"/>
    </font>
    <font>
      <b/>
      <sz val="11"/>
      <color theme="1"/>
      <name val="Calibri"/>
      <family val="2"/>
    </font>
    <font>
      <b/>
      <sz val="11"/>
      <color theme="5" tint="0.39997558519241921"/>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
      <sz val="11"/>
      <color rgb="FFC00000"/>
      <name val="Calibri"/>
      <family val="2"/>
      <scheme val="minor"/>
    </font>
    <font>
      <i/>
      <sz val="11"/>
      <color theme="1"/>
      <name val="Calibri"/>
      <family val="2"/>
      <scheme val="minor"/>
    </font>
    <font>
      <u/>
      <sz val="9"/>
      <color indexed="81"/>
      <name val="Tahoma"/>
      <family val="2"/>
    </font>
    <font>
      <sz val="8"/>
      <color theme="1"/>
      <name val="Calibri"/>
      <family val="2"/>
      <scheme val="minor"/>
    </font>
    <font>
      <sz val="10"/>
      <color theme="1"/>
      <name val="Calibri"/>
      <family val="2"/>
      <scheme val="minor"/>
    </font>
    <font>
      <sz val="8"/>
      <color theme="1"/>
      <name val="Calibri"/>
      <family val="2"/>
    </font>
    <font>
      <sz val="12"/>
      <color theme="1"/>
      <name val="Calibri"/>
      <family val="2"/>
      <scheme val="minor"/>
    </font>
    <font>
      <b/>
      <sz val="16"/>
      <color theme="1"/>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bgColor indexed="64"/>
      </patternFill>
    </fill>
    <fill>
      <patternFill patternType="solid">
        <fgColor theme="4"/>
        <bgColor indexed="64"/>
      </patternFill>
    </fill>
    <fill>
      <patternFill patternType="solid">
        <fgColor rgb="FF00B0F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27">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Alignment="1">
      <alignment wrapText="1"/>
    </xf>
    <xf numFmtId="0" fontId="0" fillId="0" borderId="0" xfId="0" applyAlignment="1">
      <alignment horizontal="center" vertical="top"/>
    </xf>
    <xf numFmtId="0" fontId="0" fillId="0" borderId="0" xfId="0" applyAlignment="1">
      <alignment vertical="top" wrapText="1"/>
    </xf>
    <xf numFmtId="0" fontId="0" fillId="0" borderId="0" xfId="0" applyFill="1" applyBorder="1" applyAlignment="1">
      <alignment wrapText="1"/>
    </xf>
    <xf numFmtId="3" fontId="0" fillId="0" borderId="0" xfId="0" applyNumberFormat="1"/>
    <xf numFmtId="0" fontId="2" fillId="0" borderId="0" xfId="0" applyFont="1"/>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37" fontId="0" fillId="0" borderId="0" xfId="0" applyNumberFormat="1"/>
    <xf numFmtId="0" fontId="2" fillId="2" borderId="4" xfId="0" applyFont="1" applyFill="1" applyBorder="1"/>
    <xf numFmtId="0" fontId="2" fillId="2" borderId="6" xfId="0" applyFont="1" applyFill="1" applyBorder="1"/>
    <xf numFmtId="0" fontId="0" fillId="2" borderId="5" xfId="0" applyFill="1" applyBorder="1"/>
    <xf numFmtId="0" fontId="0" fillId="0" borderId="1" xfId="0" applyBorder="1" applyAlignment="1">
      <alignment horizontal="center" wrapText="1"/>
    </xf>
    <xf numFmtId="3" fontId="0" fillId="0" borderId="3" xfId="0" applyNumberFormat="1" applyBorder="1"/>
    <xf numFmtId="37" fontId="0" fillId="0" borderId="7" xfId="0" applyNumberFormat="1" applyBorder="1"/>
    <xf numFmtId="9" fontId="0" fillId="0" borderId="9" xfId="1" applyFont="1" applyBorder="1" applyAlignment="1">
      <alignment horizontal="center"/>
    </xf>
    <xf numFmtId="37" fontId="0" fillId="0" borderId="10" xfId="0" applyNumberFormat="1" applyBorder="1"/>
    <xf numFmtId="9" fontId="0" fillId="0" borderId="11" xfId="1" applyFont="1" applyBorder="1" applyAlignment="1">
      <alignment horizontal="center"/>
    </xf>
    <xf numFmtId="37" fontId="0" fillId="0" borderId="0" xfId="0" applyNumberFormat="1" applyBorder="1"/>
    <xf numFmtId="9" fontId="0" fillId="0" borderId="12" xfId="1" applyFont="1" applyBorder="1" applyAlignment="1">
      <alignment horizontal="center"/>
    </xf>
    <xf numFmtId="0" fontId="0" fillId="0" borderId="7" xfId="0" applyBorder="1" applyAlignment="1">
      <alignment horizontal="right"/>
    </xf>
    <xf numFmtId="10" fontId="0" fillId="0" borderId="2" xfId="0" applyNumberFormat="1" applyBorder="1"/>
    <xf numFmtId="0" fontId="0" fillId="0" borderId="2" xfId="0" applyFill="1" applyBorder="1" applyAlignment="1">
      <alignment horizontal="center" wrapText="1"/>
    </xf>
    <xf numFmtId="10" fontId="0" fillId="0" borderId="13" xfId="0" applyNumberFormat="1" applyBorder="1"/>
    <xf numFmtId="10" fontId="0" fillId="0" borderId="8" xfId="0" applyNumberFormat="1" applyBorder="1"/>
    <xf numFmtId="37" fontId="0" fillId="2" borderId="8" xfId="0" applyNumberFormat="1" applyFill="1" applyBorder="1"/>
    <xf numFmtId="0" fontId="0" fillId="0" borderId="0" xfId="0" applyAlignment="1">
      <alignment vertical="top"/>
    </xf>
    <xf numFmtId="0" fontId="0" fillId="0" borderId="0" xfId="0" applyBorder="1" applyAlignment="1">
      <alignment horizontal="center"/>
    </xf>
    <xf numFmtId="37" fontId="0" fillId="0" borderId="1" xfId="0" applyNumberFormat="1" applyBorder="1"/>
    <xf numFmtId="0" fontId="0" fillId="3" borderId="0" xfId="0" applyFill="1" applyBorder="1"/>
    <xf numFmtId="37" fontId="0" fillId="3" borderId="0" xfId="0" applyNumberFormat="1" applyFill="1" applyBorder="1" applyAlignment="1">
      <alignment horizontal="center" vertical="center"/>
    </xf>
    <xf numFmtId="37" fontId="0" fillId="3" borderId="0" xfId="0" applyNumberFormat="1" applyFill="1" applyBorder="1"/>
    <xf numFmtId="0" fontId="0" fillId="3" borderId="0" xfId="0" applyFill="1" applyBorder="1" applyAlignment="1">
      <alignment wrapText="1"/>
    </xf>
    <xf numFmtId="0" fontId="2" fillId="0" borderId="1" xfId="0" applyFont="1" applyBorder="1" applyAlignment="1">
      <alignment horizontal="center" vertical="top"/>
    </xf>
    <xf numFmtId="0" fontId="0" fillId="3" borderId="0" xfId="0" applyFill="1" applyBorder="1" applyAlignment="1">
      <alignment horizontal="center" wrapText="1"/>
    </xf>
    <xf numFmtId="0" fontId="0" fillId="3" borderId="0" xfId="0" applyFill="1" applyBorder="1" applyAlignment="1">
      <alignment horizontal="center" vertical="top"/>
    </xf>
    <xf numFmtId="0" fontId="0" fillId="5" borderId="1" xfId="0" applyFill="1" applyBorder="1"/>
    <xf numFmtId="0" fontId="3" fillId="0" borderId="0" xfId="0" applyFont="1"/>
    <xf numFmtId="0" fontId="0" fillId="0" borderId="0" xfId="0" applyBorder="1" applyAlignment="1">
      <alignment horizontal="center" vertical="center" wrapText="1"/>
    </xf>
    <xf numFmtId="165" fontId="0" fillId="0" borderId="0" xfId="0" applyNumberFormat="1" applyBorder="1"/>
    <xf numFmtId="0" fontId="0" fillId="3" borderId="0" xfId="0" applyFill="1" applyBorder="1" applyAlignment="1">
      <alignment horizontal="center" vertical="center" wrapText="1"/>
    </xf>
    <xf numFmtId="0" fontId="0" fillId="3" borderId="0" xfId="0" applyFill="1" applyBorder="1" applyAlignment="1">
      <alignment horizontal="center" vertical="top" wrapText="1"/>
    </xf>
    <xf numFmtId="37" fontId="0" fillId="0" borderId="0" xfId="0" applyNumberFormat="1" applyAlignment="1">
      <alignment horizontal="right" vertical="top"/>
    </xf>
    <xf numFmtId="0" fontId="2" fillId="4" borderId="1" xfId="0" applyFont="1" applyFill="1" applyBorder="1" applyAlignment="1">
      <alignment horizontal="center" vertical="top"/>
    </xf>
    <xf numFmtId="0" fontId="4" fillId="0" borderId="0" xfId="0" applyFont="1"/>
    <xf numFmtId="0" fontId="0" fillId="2" borderId="6" xfId="0" applyFill="1" applyBorder="1"/>
    <xf numFmtId="37" fontId="0" fillId="2" borderId="6" xfId="0" applyNumberFormat="1" applyFill="1" applyBorder="1"/>
    <xf numFmtId="37" fontId="0" fillId="2" borderId="7" xfId="0" applyNumberFormat="1" applyFill="1" applyBorder="1"/>
    <xf numFmtId="37" fontId="0" fillId="2" borderId="0" xfId="0" applyNumberFormat="1" applyFill="1" applyBorder="1"/>
    <xf numFmtId="37" fontId="0" fillId="0" borderId="0" xfId="0" applyNumberFormat="1" applyFill="1"/>
    <xf numFmtId="0" fontId="0" fillId="2" borderId="0" xfId="0" applyFill="1" applyBorder="1"/>
    <xf numFmtId="0" fontId="2" fillId="3" borderId="0" xfId="0" applyFont="1" applyFill="1" applyBorder="1" applyAlignment="1">
      <alignment horizontal="center" vertical="top"/>
    </xf>
    <xf numFmtId="164" fontId="0" fillId="3" borderId="0" xfId="1" applyNumberFormat="1" applyFont="1" applyFill="1" applyBorder="1"/>
    <xf numFmtId="0" fontId="0" fillId="0" borderId="0" xfId="0" applyFill="1" applyBorder="1"/>
    <xf numFmtId="0" fontId="0" fillId="0" borderId="1" xfId="0" applyFill="1" applyBorder="1" applyAlignment="1">
      <alignment horizontal="center" vertical="top"/>
    </xf>
    <xf numFmtId="0" fontId="2" fillId="0" borderId="1" xfId="0" applyFont="1" applyFill="1" applyBorder="1" applyAlignment="1">
      <alignment horizontal="center" vertical="top"/>
    </xf>
    <xf numFmtId="0" fontId="0" fillId="2" borderId="17" xfId="0" applyFill="1" applyBorder="1"/>
    <xf numFmtId="37" fontId="0" fillId="2" borderId="18" xfId="0" applyNumberFormat="1" applyFill="1" applyBorder="1" applyAlignment="1">
      <alignment horizontal="right" vertical="top"/>
    </xf>
    <xf numFmtId="0" fontId="0" fillId="2" borderId="19" xfId="0" applyFill="1" applyBorder="1"/>
    <xf numFmtId="37" fontId="0" fillId="2" borderId="21" xfId="0" applyNumberFormat="1" applyFill="1" applyBorder="1" applyAlignment="1">
      <alignment horizontal="right" vertical="top"/>
    </xf>
    <xf numFmtId="37" fontId="0" fillId="2" borderId="20" xfId="0" applyNumberFormat="1" applyFill="1" applyBorder="1" applyAlignment="1">
      <alignment horizontal="right" vertical="top"/>
    </xf>
    <xf numFmtId="0" fontId="0" fillId="0" borderId="17" xfId="0" applyFill="1" applyBorder="1"/>
    <xf numFmtId="37" fontId="0" fillId="0" borderId="0" xfId="0" applyNumberFormat="1" applyFill="1" applyBorder="1"/>
    <xf numFmtId="0" fontId="0" fillId="2" borderId="1" xfId="0" applyFill="1" applyBorder="1"/>
    <xf numFmtId="37" fontId="0" fillId="0" borderId="1" xfId="0" applyNumberFormat="1" applyBorder="1" applyAlignment="1">
      <alignment horizontal="center" wrapText="1"/>
    </xf>
    <xf numFmtId="164" fontId="0" fillId="3" borderId="0" xfId="1" applyNumberFormat="1" applyFont="1" applyFill="1" applyBorder="1" applyAlignment="1">
      <alignment horizontal="center"/>
    </xf>
    <xf numFmtId="0" fontId="0" fillId="0" borderId="1" xfId="0" applyFont="1" applyBorder="1" applyAlignment="1">
      <alignment horizontal="center" vertical="top"/>
    </xf>
    <xf numFmtId="0" fontId="0" fillId="0" borderId="0" xfId="0" applyFill="1" applyBorder="1" applyAlignment="1">
      <alignment horizontal="center" vertical="center" wrapText="1"/>
    </xf>
    <xf numFmtId="0" fontId="2" fillId="6" borderId="0" xfId="0" applyFont="1" applyFill="1" applyAlignment="1">
      <alignment horizontal="center"/>
    </xf>
    <xf numFmtId="0" fontId="0" fillId="6" borderId="0" xfId="0" applyFill="1" applyBorder="1" applyAlignment="1">
      <alignment horizontal="left" wrapText="1"/>
    </xf>
    <xf numFmtId="0" fontId="0" fillId="6" borderId="1" xfId="0" applyFill="1" applyBorder="1"/>
    <xf numFmtId="0" fontId="0" fillId="6" borderId="0" xfId="0" applyFill="1"/>
    <xf numFmtId="0" fontId="0" fillId="6" borderId="0" xfId="0" applyFill="1" applyAlignment="1">
      <alignment wrapText="1"/>
    </xf>
    <xf numFmtId="9" fontId="0" fillId="6" borderId="0" xfId="0" applyNumberFormat="1" applyFill="1" applyAlignment="1">
      <alignment horizontal="center" wrapText="1"/>
    </xf>
    <xf numFmtId="0" fontId="0" fillId="6" borderId="1" xfId="0" applyFill="1" applyBorder="1" applyAlignment="1">
      <alignment wrapText="1"/>
    </xf>
    <xf numFmtId="9" fontId="0" fillId="6" borderId="1" xfId="0" applyNumberFormat="1" applyFill="1" applyBorder="1" applyAlignment="1">
      <alignment wrapText="1"/>
    </xf>
    <xf numFmtId="0" fontId="2" fillId="7" borderId="26" xfId="0" applyFont="1" applyFill="1" applyBorder="1" applyAlignment="1">
      <alignment horizontal="centerContinuous"/>
    </xf>
    <xf numFmtId="0" fontId="2" fillId="7" borderId="27" xfId="0" applyFont="1" applyFill="1" applyBorder="1" applyAlignment="1">
      <alignment horizontal="centerContinuous" vertical="top" wrapText="1"/>
    </xf>
    <xf numFmtId="0" fontId="0" fillId="7" borderId="28" xfId="0" applyFill="1" applyBorder="1" applyAlignment="1">
      <alignment horizontal="centerContinuous"/>
    </xf>
    <xf numFmtId="0" fontId="2" fillId="7" borderId="0" xfId="0" applyFont="1" applyFill="1" applyAlignment="1">
      <alignment horizontal="centerContinuous"/>
    </xf>
    <xf numFmtId="0" fontId="2" fillId="7" borderId="0" xfId="0" applyFont="1" applyFill="1" applyAlignment="1">
      <alignment horizontal="centerContinuous" wrapText="1"/>
    </xf>
    <xf numFmtId="0" fontId="0" fillId="8" borderId="2" xfId="0" applyFill="1" applyBorder="1" applyAlignment="1">
      <alignment horizontal="center" vertical="top" wrapText="1"/>
    </xf>
    <xf numFmtId="0" fontId="0" fillId="8" borderId="1" xfId="0" applyFill="1" applyBorder="1"/>
    <xf numFmtId="0" fontId="0" fillId="8" borderId="1" xfId="0" applyFill="1" applyBorder="1" applyAlignment="1">
      <alignment horizontal="center" vertical="top" wrapText="1"/>
    </xf>
    <xf numFmtId="0" fontId="0" fillId="7" borderId="4" xfId="0" applyFill="1" applyBorder="1"/>
    <xf numFmtId="0" fontId="0" fillId="7" borderId="5" xfId="0" applyFill="1" applyBorder="1" applyAlignment="1">
      <alignment wrapText="1"/>
    </xf>
    <xf numFmtId="0" fontId="0" fillId="9" borderId="1" xfId="0" applyFill="1" applyBorder="1" applyAlignment="1">
      <alignment horizontal="center" vertical="top" wrapText="1"/>
    </xf>
    <xf numFmtId="9" fontId="0" fillId="9" borderId="2" xfId="0" applyNumberFormat="1" applyFill="1" applyBorder="1" applyAlignment="1">
      <alignment horizontal="center" vertical="top" wrapText="1"/>
    </xf>
    <xf numFmtId="0" fontId="2" fillId="10" borderId="32" xfId="0" applyFont="1" applyFill="1" applyBorder="1" applyAlignment="1">
      <alignment horizontal="centerContinuous"/>
    </xf>
    <xf numFmtId="0" fontId="0" fillId="10" borderId="15" xfId="0" applyFill="1" applyBorder="1" applyAlignment="1">
      <alignment horizontal="centerContinuous"/>
    </xf>
    <xf numFmtId="0" fontId="0" fillId="9" borderId="8" xfId="0" applyFill="1" applyBorder="1" applyAlignment="1">
      <alignment horizontal="center" vertical="top" wrapText="1"/>
    </xf>
    <xf numFmtId="0" fontId="0" fillId="8" borderId="4" xfId="0" applyFill="1" applyBorder="1" applyAlignment="1">
      <alignment horizontal="center"/>
    </xf>
    <xf numFmtId="0" fontId="0" fillId="9" borderId="0" xfId="0" applyFill="1" applyAlignment="1">
      <alignment horizontal="center"/>
    </xf>
    <xf numFmtId="0" fontId="0" fillId="10" borderId="4" xfId="0" applyFill="1" applyBorder="1" applyAlignment="1">
      <alignment horizontal="center"/>
    </xf>
    <xf numFmtId="0" fontId="5" fillId="10" borderId="33" xfId="0" applyFont="1" applyFill="1" applyBorder="1" applyAlignment="1">
      <alignment horizontal="centerContinuous"/>
    </xf>
    <xf numFmtId="0" fontId="0" fillId="10" borderId="0" xfId="0" applyFill="1" applyBorder="1" applyAlignment="1">
      <alignment horizontal="centerContinuous"/>
    </xf>
    <xf numFmtId="0" fontId="0" fillId="8" borderId="32" xfId="0" applyFill="1" applyBorder="1" applyAlignment="1">
      <alignment vertical="top"/>
    </xf>
    <xf numFmtId="0" fontId="0" fillId="8" borderId="34" xfId="0" applyFill="1" applyBorder="1" applyAlignment="1">
      <alignment horizontal="center" vertical="top" wrapText="1"/>
    </xf>
    <xf numFmtId="0" fontId="2" fillId="8" borderId="36" xfId="0" applyFont="1" applyFill="1" applyBorder="1" applyAlignment="1">
      <alignment horizontal="center"/>
    </xf>
    <xf numFmtId="0" fontId="0" fillId="8" borderId="37" xfId="0" applyFill="1" applyBorder="1" applyAlignment="1">
      <alignment horizontal="center" vertical="top" wrapText="1"/>
    </xf>
    <xf numFmtId="0" fontId="0" fillId="9" borderId="38" xfId="0" applyFill="1" applyBorder="1" applyAlignment="1">
      <alignment horizontal="center" vertical="top" wrapText="1"/>
    </xf>
    <xf numFmtId="0" fontId="0" fillId="9" borderId="5" xfId="0" applyFill="1" applyBorder="1" applyAlignment="1">
      <alignment horizontal="center" vertical="top" wrapText="1"/>
    </xf>
    <xf numFmtId="0" fontId="2" fillId="8" borderId="17" xfId="0" applyFont="1" applyFill="1" applyBorder="1" applyAlignment="1">
      <alignment horizontal="center"/>
    </xf>
    <xf numFmtId="0" fontId="2" fillId="9" borderId="2" xfId="0" applyFont="1" applyFill="1" applyBorder="1" applyAlignment="1">
      <alignment horizontal="center"/>
    </xf>
    <xf numFmtId="0" fontId="2" fillId="9" borderId="8" xfId="0" applyFont="1" applyFill="1" applyBorder="1" applyAlignment="1">
      <alignment horizontal="center"/>
    </xf>
    <xf numFmtId="0" fontId="2" fillId="8" borderId="2" xfId="0" applyFont="1" applyFill="1" applyBorder="1" applyAlignment="1">
      <alignment horizontal="center"/>
    </xf>
    <xf numFmtId="0" fontId="2" fillId="8" borderId="13" xfId="0" applyFont="1" applyFill="1" applyBorder="1" applyAlignment="1">
      <alignment horizontal="center"/>
    </xf>
    <xf numFmtId="0" fontId="2" fillId="8" borderId="8" xfId="0" applyFont="1" applyFill="1" applyBorder="1" applyAlignment="1">
      <alignment horizontal="center"/>
    </xf>
    <xf numFmtId="0" fontId="0" fillId="10" borderId="39" xfId="0" applyFill="1" applyBorder="1" applyAlignment="1">
      <alignment horizontal="center" vertical="top" wrapText="1"/>
    </xf>
    <xf numFmtId="0" fontId="2" fillId="11" borderId="26" xfId="0" applyFont="1" applyFill="1" applyBorder="1" applyAlignment="1">
      <alignment horizontal="centerContinuous"/>
    </xf>
    <xf numFmtId="0" fontId="0" fillId="11" borderId="27" xfId="0" applyFill="1" applyBorder="1" applyAlignment="1">
      <alignment horizontal="centerContinuous"/>
    </xf>
    <xf numFmtId="0" fontId="0" fillId="11" borderId="28" xfId="0" applyFill="1" applyBorder="1" applyAlignment="1">
      <alignment horizontal="centerContinuous"/>
    </xf>
    <xf numFmtId="0" fontId="2" fillId="0" borderId="0" xfId="0" applyFont="1" applyFill="1" applyBorder="1" applyAlignment="1">
      <alignment horizontal="center"/>
    </xf>
    <xf numFmtId="0" fontId="0" fillId="0" borderId="0" xfId="0" applyFill="1" applyBorder="1" applyAlignment="1">
      <alignment horizontal="center" vertical="top" wrapText="1"/>
    </xf>
    <xf numFmtId="0" fontId="0" fillId="0" borderId="0" xfId="0" applyFill="1" applyBorder="1" applyAlignment="1">
      <alignment horizontal="center"/>
    </xf>
    <xf numFmtId="0" fontId="0" fillId="10" borderId="16" xfId="0" applyFill="1" applyBorder="1" applyAlignment="1">
      <alignment horizontal="centerContinuous"/>
    </xf>
    <xf numFmtId="0" fontId="0" fillId="8" borderId="19" xfId="0" applyFill="1" applyBorder="1" applyAlignment="1">
      <alignment horizontal="center"/>
    </xf>
    <xf numFmtId="0" fontId="0" fillId="9" borderId="17" xfId="0" applyFill="1" applyBorder="1" applyAlignment="1">
      <alignment horizontal="center"/>
    </xf>
    <xf numFmtId="0" fontId="0" fillId="10" borderId="19" xfId="0" applyFill="1" applyBorder="1" applyAlignment="1">
      <alignment horizontal="center"/>
    </xf>
    <xf numFmtId="0" fontId="0" fillId="0" borderId="0" xfId="0" applyFill="1" applyBorder="1" applyAlignment="1">
      <alignment vertical="top"/>
    </xf>
    <xf numFmtId="0" fontId="0" fillId="0" borderId="0" xfId="0" applyFont="1" applyFill="1" applyBorder="1"/>
    <xf numFmtId="9" fontId="0" fillId="12" borderId="31" xfId="0" applyNumberFormat="1" applyFont="1" applyFill="1" applyBorder="1" applyAlignment="1">
      <alignment horizontal="center" vertical="top" wrapText="1"/>
    </xf>
    <xf numFmtId="0" fontId="2" fillId="10" borderId="17" xfId="0" applyFont="1" applyFill="1" applyBorder="1" applyAlignment="1">
      <alignment horizontal="centerContinuous" vertical="center"/>
    </xf>
    <xf numFmtId="0" fontId="0" fillId="10" borderId="0" xfId="0" applyFill="1" applyBorder="1" applyAlignment="1">
      <alignment horizontal="centerContinuous" vertical="center"/>
    </xf>
    <xf numFmtId="0" fontId="2" fillId="12" borderId="26" xfId="0" applyFont="1" applyFill="1" applyBorder="1" applyAlignment="1">
      <alignment horizontal="centerContinuous"/>
    </xf>
    <xf numFmtId="0" fontId="2" fillId="12" borderId="15" xfId="0" applyFont="1" applyFill="1" applyBorder="1" applyAlignment="1">
      <alignment horizontal="centerContinuous"/>
    </xf>
    <xf numFmtId="0" fontId="0" fillId="12" borderId="16" xfId="0" applyFill="1" applyBorder="1" applyAlignment="1">
      <alignment horizontal="centerContinuous"/>
    </xf>
    <xf numFmtId="37" fontId="0" fillId="9" borderId="12" xfId="0" applyNumberFormat="1" applyFill="1" applyBorder="1"/>
    <xf numFmtId="37" fontId="0" fillId="9" borderId="4" xfId="0" applyNumberFormat="1" applyFill="1" applyBorder="1"/>
    <xf numFmtId="37" fontId="0" fillId="9" borderId="9" xfId="0" applyNumberFormat="1" applyFill="1" applyBorder="1"/>
    <xf numFmtId="37" fontId="0" fillId="12" borderId="4" xfId="0" applyNumberFormat="1" applyFont="1" applyFill="1" applyBorder="1"/>
    <xf numFmtId="37" fontId="0" fillId="10" borderId="0" xfId="0" applyNumberFormat="1" applyFill="1" applyBorder="1" applyAlignment="1">
      <alignment horizontal="centerContinuous"/>
    </xf>
    <xf numFmtId="37" fontId="0" fillId="8" borderId="44" xfId="0" applyNumberFormat="1" applyFill="1" applyBorder="1" applyAlignment="1">
      <alignment vertical="top"/>
    </xf>
    <xf numFmtId="37" fontId="0" fillId="8" borderId="45" xfId="0" applyNumberFormat="1" applyFill="1" applyBorder="1"/>
    <xf numFmtId="37" fontId="0" fillId="8" borderId="1" xfId="0" applyNumberFormat="1" applyFill="1" applyBorder="1"/>
    <xf numFmtId="37" fontId="0" fillId="8" borderId="2" xfId="0" applyNumberFormat="1" applyFill="1" applyBorder="1"/>
    <xf numFmtId="37" fontId="0" fillId="10" borderId="30" xfId="0" applyNumberFormat="1" applyFill="1" applyBorder="1"/>
    <xf numFmtId="37" fontId="0" fillId="8" borderId="41" xfId="0" applyNumberFormat="1" applyFill="1" applyBorder="1"/>
    <xf numFmtId="37" fontId="0" fillId="9" borderId="42" xfId="0" applyNumberFormat="1" applyFill="1" applyBorder="1"/>
    <xf numFmtId="37" fontId="0" fillId="9" borderId="41" xfId="0" applyNumberFormat="1" applyFill="1" applyBorder="1"/>
    <xf numFmtId="37" fontId="0" fillId="9" borderId="43" xfId="0" applyNumberFormat="1" applyFill="1" applyBorder="1"/>
    <xf numFmtId="37" fontId="0" fillId="12" borderId="41" xfId="0" applyNumberFormat="1" applyFont="1" applyFill="1" applyBorder="1"/>
    <xf numFmtId="37" fontId="0" fillId="10" borderId="18" xfId="0" applyNumberFormat="1" applyFill="1" applyBorder="1" applyAlignment="1">
      <alignment horizontal="centerContinuous"/>
    </xf>
    <xf numFmtId="37" fontId="0" fillId="8" borderId="35" xfId="0" applyNumberFormat="1" applyFill="1" applyBorder="1" applyAlignment="1">
      <alignment vertical="top"/>
    </xf>
    <xf numFmtId="37" fontId="0" fillId="6" borderId="0" xfId="0" applyNumberFormat="1" applyFill="1"/>
    <xf numFmtId="37" fontId="0" fillId="6" borderId="1" xfId="0" applyNumberFormat="1" applyFill="1" applyBorder="1"/>
    <xf numFmtId="37" fontId="0" fillId="7" borderId="0" xfId="0" applyNumberFormat="1" applyFill="1" applyAlignment="1">
      <alignment horizontal="centerContinuous"/>
    </xf>
    <xf numFmtId="37" fontId="0" fillId="6" borderId="29" xfId="0" applyNumberFormat="1" applyFill="1" applyBorder="1"/>
    <xf numFmtId="37" fontId="2" fillId="7" borderId="3" xfId="0" applyNumberFormat="1" applyFont="1" applyFill="1" applyBorder="1"/>
    <xf numFmtId="0" fontId="0" fillId="13" borderId="46" xfId="0" applyFill="1" applyBorder="1" applyAlignment="1">
      <alignment horizontal="centerContinuous"/>
    </xf>
    <xf numFmtId="0" fontId="0" fillId="13" borderId="40" xfId="0" applyFill="1" applyBorder="1" applyAlignment="1">
      <alignment horizontal="centerContinuous"/>
    </xf>
    <xf numFmtId="0" fontId="0" fillId="0" borderId="31" xfId="0" applyBorder="1"/>
    <xf numFmtId="0" fontId="0" fillId="0" borderId="0" xfId="0" applyBorder="1" applyAlignment="1">
      <alignment horizontal="center" wrapText="1"/>
    </xf>
    <xf numFmtId="0" fontId="0" fillId="0" borderId="0" xfId="0" applyFill="1" applyBorder="1" applyAlignment="1">
      <alignment horizontal="center" wrapText="1"/>
    </xf>
    <xf numFmtId="37" fontId="0" fillId="0" borderId="11" xfId="0" applyNumberFormat="1" applyFill="1" applyBorder="1"/>
    <xf numFmtId="37" fontId="0" fillId="0" borderId="11" xfId="0" applyNumberFormat="1" applyFill="1" applyBorder="1" applyAlignment="1">
      <alignment vertical="top"/>
    </xf>
    <xf numFmtId="37" fontId="0" fillId="0" borderId="11" xfId="0" applyNumberFormat="1" applyFont="1" applyFill="1" applyBorder="1"/>
    <xf numFmtId="0" fontId="0" fillId="0" borderId="11" xfId="0" applyFill="1" applyBorder="1"/>
    <xf numFmtId="0" fontId="0" fillId="0" borderId="47" xfId="0" applyBorder="1"/>
    <xf numFmtId="0" fontId="0" fillId="0" borderId="0" xfId="0" applyBorder="1" applyAlignment="1">
      <alignment horizontal="right"/>
    </xf>
    <xf numFmtId="37" fontId="0" fillId="2" borderId="6" xfId="0" applyNumberFormat="1" applyFill="1" applyBorder="1" applyAlignment="1">
      <alignment vertical="top"/>
    </xf>
    <xf numFmtId="0" fontId="0" fillId="2" borderId="25" xfId="0" applyFill="1" applyBorder="1"/>
    <xf numFmtId="0" fontId="0" fillId="2" borderId="10" xfId="0" applyFill="1" applyBorder="1"/>
    <xf numFmtId="37" fontId="0" fillId="2" borderId="10" xfId="0" applyNumberFormat="1" applyFill="1" applyBorder="1"/>
    <xf numFmtId="0" fontId="0" fillId="2" borderId="0" xfId="0" applyFill="1" applyBorder="1" applyAlignment="1">
      <alignment vertical="top"/>
    </xf>
    <xf numFmtId="37" fontId="0" fillId="2" borderId="10" xfId="0" applyNumberFormat="1" applyFill="1" applyBorder="1" applyAlignment="1">
      <alignment vertical="top"/>
    </xf>
    <xf numFmtId="0" fontId="0" fillId="5" borderId="6" xfId="0" applyFill="1" applyBorder="1"/>
    <xf numFmtId="37" fontId="0" fillId="5" borderId="6" xfId="0" applyNumberFormat="1" applyFill="1" applyBorder="1"/>
    <xf numFmtId="0" fontId="0" fillId="5" borderId="19" xfId="0" applyFill="1" applyBorder="1" applyAlignment="1">
      <alignment vertical="top"/>
    </xf>
    <xf numFmtId="37" fontId="0" fillId="5" borderId="20" xfId="0" applyNumberFormat="1" applyFill="1" applyBorder="1" applyAlignment="1">
      <alignment horizontal="right" vertical="top"/>
    </xf>
    <xf numFmtId="0" fontId="0" fillId="2" borderId="7" xfId="0" applyFill="1" applyBorder="1"/>
    <xf numFmtId="0" fontId="0" fillId="15" borderId="6" xfId="0" applyFill="1" applyBorder="1"/>
    <xf numFmtId="37" fontId="0" fillId="15" borderId="6" xfId="0" applyNumberFormat="1" applyFill="1" applyBorder="1"/>
    <xf numFmtId="37" fontId="0" fillId="15" borderId="20" xfId="0" applyNumberFormat="1" applyFill="1" applyBorder="1" applyAlignment="1">
      <alignment horizontal="right" vertical="top"/>
    </xf>
    <xf numFmtId="37" fontId="0" fillId="2" borderId="50" xfId="0" applyNumberFormat="1" applyFill="1" applyBorder="1" applyAlignment="1">
      <alignment horizontal="right" vertical="top"/>
    </xf>
    <xf numFmtId="0" fontId="0" fillId="2" borderId="51" xfId="0" applyFill="1" applyBorder="1"/>
    <xf numFmtId="37" fontId="0" fillId="2" borderId="21" xfId="0" applyNumberFormat="1" applyFill="1" applyBorder="1" applyAlignment="1">
      <alignment horizontal="right"/>
    </xf>
    <xf numFmtId="164" fontId="0" fillId="3" borderId="0" xfId="1" applyNumberFormat="1" applyFont="1" applyFill="1" applyBorder="1" applyAlignment="1">
      <alignment horizontal="center" vertical="top"/>
    </xf>
    <xf numFmtId="0" fontId="0" fillId="0" borderId="1" xfId="0" applyBorder="1" applyAlignment="1">
      <alignment vertical="top"/>
    </xf>
    <xf numFmtId="3" fontId="0" fillId="0" borderId="1" xfId="0" applyNumberFormat="1" applyBorder="1"/>
    <xf numFmtId="37" fontId="0" fillId="0" borderId="41" xfId="0" applyNumberFormat="1" applyBorder="1"/>
    <xf numFmtId="37" fontId="0" fillId="0" borderId="43" xfId="0" applyNumberFormat="1" applyBorder="1"/>
    <xf numFmtId="37" fontId="0" fillId="0" borderId="42" xfId="0" applyNumberFormat="1" applyBorder="1"/>
    <xf numFmtId="37" fontId="0" fillId="0" borderId="0" xfId="0" applyNumberFormat="1" applyAlignment="1">
      <alignment vertical="top"/>
    </xf>
    <xf numFmtId="0" fontId="0" fillId="2" borderId="6" xfId="0" applyFill="1" applyBorder="1" applyAlignment="1">
      <alignment vertical="top"/>
    </xf>
    <xf numFmtId="0" fontId="0" fillId="2" borderId="10" xfId="0" applyFill="1" applyBorder="1" applyAlignment="1">
      <alignment vertical="top"/>
    </xf>
    <xf numFmtId="0" fontId="0" fillId="2" borderId="7" xfId="0" applyFill="1" applyBorder="1" applyAlignment="1">
      <alignment vertical="top"/>
    </xf>
    <xf numFmtId="37" fontId="0" fillId="2" borderId="7" xfId="0" applyNumberFormat="1" applyFill="1" applyBorder="1" applyAlignment="1">
      <alignment vertical="top"/>
    </xf>
    <xf numFmtId="3" fontId="0" fillId="2" borderId="1" xfId="0" applyNumberFormat="1" applyFill="1" applyBorder="1"/>
    <xf numFmtId="0" fontId="2" fillId="0" borderId="26" xfId="0" applyFont="1" applyBorder="1" applyAlignment="1">
      <alignment horizontal="centerContinuous"/>
    </xf>
    <xf numFmtId="0" fontId="0" fillId="0" borderId="27" xfId="0" applyBorder="1" applyAlignment="1">
      <alignment horizontal="centerContinuous"/>
    </xf>
    <xf numFmtId="0" fontId="0" fillId="0" borderId="28" xfId="0" applyBorder="1" applyAlignment="1">
      <alignment horizontal="centerContinuous"/>
    </xf>
    <xf numFmtId="0" fontId="0" fillId="15" borderId="52" xfId="0" applyFill="1" applyBorder="1" applyAlignment="1">
      <alignment horizontal="centerContinuous"/>
    </xf>
    <xf numFmtId="0" fontId="0" fillId="15" borderId="53" xfId="0" applyFill="1" applyBorder="1" applyAlignment="1">
      <alignment horizontal="centerContinuous"/>
    </xf>
    <xf numFmtId="37" fontId="0" fillId="15" borderId="15" xfId="0" applyNumberFormat="1" applyFill="1" applyBorder="1" applyAlignment="1">
      <alignment horizontal="centerContinuous"/>
    </xf>
    <xf numFmtId="37" fontId="0" fillId="15" borderId="16" xfId="0" applyNumberFormat="1" applyFill="1" applyBorder="1" applyAlignment="1">
      <alignment horizontal="centerContinuous" vertical="top"/>
    </xf>
    <xf numFmtId="0" fontId="0" fillId="2" borderId="8" xfId="0" applyFill="1" applyBorder="1"/>
    <xf numFmtId="0" fontId="0" fillId="5" borderId="19" xfId="0" applyFill="1" applyBorder="1"/>
    <xf numFmtId="37" fontId="0" fillId="5" borderId="20" xfId="0" applyNumberFormat="1" applyFill="1" applyBorder="1" applyAlignment="1">
      <alignment horizontal="right"/>
    </xf>
    <xf numFmtId="0" fontId="0" fillId="0" borderId="25" xfId="0" applyFill="1" applyBorder="1"/>
    <xf numFmtId="0" fontId="0" fillId="0" borderId="10" xfId="0" applyFill="1" applyBorder="1"/>
    <xf numFmtId="37" fontId="0" fillId="0" borderId="10" xfId="0" applyNumberFormat="1" applyFill="1" applyBorder="1"/>
    <xf numFmtId="37" fontId="0" fillId="0" borderId="50" xfId="0" applyNumberFormat="1" applyFill="1" applyBorder="1" applyAlignment="1">
      <alignment horizontal="right"/>
    </xf>
    <xf numFmtId="0" fontId="0" fillId="15" borderId="25" xfId="0" applyFill="1" applyBorder="1" applyAlignment="1">
      <alignment horizontal="centerContinuous"/>
    </xf>
    <xf numFmtId="0" fontId="0" fillId="15" borderId="10" xfId="0" applyFill="1" applyBorder="1" applyAlignment="1">
      <alignment horizontal="centerContinuous"/>
    </xf>
    <xf numFmtId="37" fontId="0" fillId="15" borderId="10" xfId="0" applyNumberFormat="1" applyFill="1" applyBorder="1" applyAlignment="1">
      <alignment horizontal="centerContinuous"/>
    </xf>
    <xf numFmtId="37" fontId="0" fillId="15" borderId="50" xfId="0" applyNumberFormat="1" applyFill="1" applyBorder="1" applyAlignment="1">
      <alignment horizontal="centerContinuous"/>
    </xf>
    <xf numFmtId="0" fontId="0" fillId="0" borderId="17" xfId="0" applyFill="1" applyBorder="1" applyAlignment="1">
      <alignment vertical="top"/>
    </xf>
    <xf numFmtId="37" fontId="0" fillId="0" borderId="18" xfId="0" applyNumberFormat="1" applyFill="1" applyBorder="1" applyAlignment="1">
      <alignment horizontal="right" vertical="top"/>
    </xf>
    <xf numFmtId="0" fontId="0" fillId="15" borderId="6" xfId="0" applyFill="1" applyBorder="1" applyAlignment="1">
      <alignment horizontal="centerContinuous"/>
    </xf>
    <xf numFmtId="37" fontId="0" fillId="15" borderId="6" xfId="0" applyNumberFormat="1" applyFill="1" applyBorder="1" applyAlignment="1">
      <alignment horizontal="centerContinuous"/>
    </xf>
    <xf numFmtId="0" fontId="0" fillId="2" borderId="19" xfId="0" applyFill="1" applyBorder="1" applyAlignment="1">
      <alignment vertical="top"/>
    </xf>
    <xf numFmtId="0" fontId="0" fillId="15" borderId="19" xfId="0" applyFill="1" applyBorder="1"/>
    <xf numFmtId="37" fontId="0" fillId="0" borderId="50" xfId="0" applyNumberFormat="1" applyFill="1" applyBorder="1" applyAlignment="1">
      <alignment horizontal="right" vertical="top"/>
    </xf>
    <xf numFmtId="0" fontId="0" fillId="15" borderId="25" xfId="0" applyFill="1" applyBorder="1"/>
    <xf numFmtId="0" fontId="0" fillId="15" borderId="10" xfId="0" applyFill="1" applyBorder="1"/>
    <xf numFmtId="37" fontId="0" fillId="15" borderId="10" xfId="0" applyNumberFormat="1" applyFill="1" applyBorder="1"/>
    <xf numFmtId="37" fontId="0" fillId="15" borderId="50" xfId="0" applyNumberFormat="1" applyFill="1" applyBorder="1" applyAlignment="1">
      <alignment horizontal="right" vertical="top"/>
    </xf>
    <xf numFmtId="0" fontId="0" fillId="0" borderId="1" xfId="0" applyBorder="1" applyAlignment="1">
      <alignment wrapText="1"/>
    </xf>
    <xf numFmtId="0" fontId="0" fillId="0" borderId="0" xfId="0" applyAlignment="1">
      <alignment horizontal="left" vertical="top" wrapText="1"/>
    </xf>
    <xf numFmtId="0" fontId="0" fillId="0" borderId="0" xfId="0" applyAlignment="1">
      <alignment vertical="center"/>
    </xf>
    <xf numFmtId="0" fontId="0" fillId="0" borderId="0" xfId="0" quotePrefix="1" applyAlignment="1">
      <alignment vertical="center"/>
    </xf>
    <xf numFmtId="0" fontId="0" fillId="0" borderId="48" xfId="0" applyFill="1" applyBorder="1" applyAlignment="1">
      <alignment horizontal="left" vertical="center"/>
    </xf>
    <xf numFmtId="0" fontId="0" fillId="0" borderId="49" xfId="0" applyBorder="1" applyAlignment="1">
      <alignment horizontal="center" wrapText="1"/>
    </xf>
    <xf numFmtId="164" fontId="0" fillId="0" borderId="41" xfId="0" applyNumberFormat="1" applyBorder="1"/>
    <xf numFmtId="37" fontId="0" fillId="0" borderId="0" xfId="0" applyNumberFormat="1" applyFill="1" applyBorder="1" applyAlignment="1">
      <alignment horizontal="right" vertical="top"/>
    </xf>
    <xf numFmtId="37" fontId="0" fillId="0" borderId="0" xfId="0" applyNumberFormat="1" applyFill="1" applyBorder="1" applyAlignment="1">
      <alignment horizontal="right"/>
    </xf>
    <xf numFmtId="37" fontId="0" fillId="0" borderId="0" xfId="0" applyNumberFormat="1" applyFill="1" applyBorder="1" applyAlignment="1">
      <alignment vertical="top"/>
    </xf>
    <xf numFmtId="0" fontId="0" fillId="0" borderId="0" xfId="0" applyFill="1" applyBorder="1" applyAlignment="1">
      <alignment horizontal="centerContinuous" vertical="top" wrapText="1"/>
    </xf>
    <xf numFmtId="37" fontId="0" fillId="0" borderId="0" xfId="0" applyNumberFormat="1" applyFill="1" applyBorder="1" applyAlignment="1">
      <alignment horizontal="centerContinuous" vertical="top" wrapText="1"/>
    </xf>
    <xf numFmtId="0" fontId="0" fillId="3" borderId="17" xfId="0" applyFill="1" applyBorder="1"/>
    <xf numFmtId="0" fontId="0" fillId="3" borderId="18" xfId="0" applyFill="1" applyBorder="1"/>
    <xf numFmtId="0" fontId="0" fillId="3" borderId="0" xfId="0" applyFill="1" applyBorder="1" applyAlignment="1">
      <alignment vertical="top" wrapText="1"/>
    </xf>
    <xf numFmtId="0" fontId="2" fillId="3" borderId="0" xfId="0" applyFont="1" applyFill="1" applyBorder="1"/>
    <xf numFmtId="0" fontId="0" fillId="3" borderId="17" xfId="0" applyFill="1" applyBorder="1" applyAlignment="1">
      <alignment vertical="top"/>
    </xf>
    <xf numFmtId="0" fontId="0" fillId="0" borderId="0" xfId="0" applyBorder="1" applyAlignment="1">
      <alignment wrapText="1"/>
    </xf>
    <xf numFmtId="0" fontId="0" fillId="3" borderId="36" xfId="0" applyFill="1" applyBorder="1"/>
    <xf numFmtId="0" fontId="0" fillId="3" borderId="54" xfId="0" applyFill="1" applyBorder="1" applyAlignment="1">
      <alignment horizontal="center" vertical="top"/>
    </xf>
    <xf numFmtId="0" fontId="0" fillId="3" borderId="54" xfId="0" applyFill="1" applyBorder="1"/>
    <xf numFmtId="37" fontId="0" fillId="3" borderId="54" xfId="0" applyNumberFormat="1" applyFill="1" applyBorder="1" applyAlignment="1">
      <alignment horizontal="right"/>
    </xf>
    <xf numFmtId="0" fontId="0" fillId="3" borderId="55" xfId="0" applyFill="1" applyBorder="1"/>
    <xf numFmtId="0" fontId="0" fillId="0" borderId="15" xfId="0" applyFont="1" applyFill="1" applyBorder="1" applyAlignment="1">
      <alignment horizontal="centerContinuous" vertical="top"/>
    </xf>
    <xf numFmtId="0" fontId="0" fillId="0" borderId="15" xfId="0" applyFont="1" applyFill="1" applyBorder="1" applyAlignment="1">
      <alignment horizontal="centerContinuous"/>
    </xf>
    <xf numFmtId="37" fontId="0" fillId="0" borderId="15" xfId="0" applyNumberFormat="1" applyFont="1" applyFill="1" applyBorder="1" applyAlignment="1">
      <alignment horizontal="centerContinuous"/>
    </xf>
    <xf numFmtId="0" fontId="0" fillId="0" borderId="16" xfId="0" applyFont="1" applyFill="1" applyBorder="1" applyAlignment="1">
      <alignment horizontal="centerContinuous"/>
    </xf>
    <xf numFmtId="0" fontId="2" fillId="0" borderId="36" xfId="0" applyFont="1" applyFill="1" applyBorder="1" applyAlignment="1">
      <alignment horizontal="centerContinuous"/>
    </xf>
    <xf numFmtId="0" fontId="0" fillId="0" borderId="54" xfId="0" applyFont="1" applyFill="1" applyBorder="1" applyAlignment="1">
      <alignment horizontal="centerContinuous" vertical="top"/>
    </xf>
    <xf numFmtId="0" fontId="0" fillId="0" borderId="54" xfId="0" applyFont="1" applyFill="1" applyBorder="1" applyAlignment="1">
      <alignment horizontal="centerContinuous"/>
    </xf>
    <xf numFmtId="37" fontId="0" fillId="0" borderId="54" xfId="0" applyNumberFormat="1" applyFont="1" applyFill="1" applyBorder="1" applyAlignment="1">
      <alignment horizontal="centerContinuous"/>
    </xf>
    <xf numFmtId="0" fontId="0" fillId="0" borderId="55" xfId="0" applyFont="1" applyFill="1" applyBorder="1" applyAlignment="1">
      <alignment horizontal="centerContinuous"/>
    </xf>
    <xf numFmtId="0" fontId="0" fillId="15" borderId="19" xfId="0" applyFill="1" applyBorder="1" applyAlignment="1">
      <alignment horizontal="centerContinuous"/>
    </xf>
    <xf numFmtId="37" fontId="0" fillId="15" borderId="20" xfId="0" applyNumberFormat="1" applyFill="1" applyBorder="1" applyAlignment="1">
      <alignment horizontal="centerContinuous" vertical="top"/>
    </xf>
    <xf numFmtId="0" fontId="0" fillId="2" borderId="25" xfId="0" applyFill="1" applyBorder="1" applyAlignment="1">
      <alignment vertical="top"/>
    </xf>
    <xf numFmtId="0" fontId="0" fillId="2" borderId="51" xfId="0" applyFill="1" applyBorder="1" applyAlignment="1">
      <alignment vertical="top"/>
    </xf>
    <xf numFmtId="0" fontId="0" fillId="13" borderId="22" xfId="0" applyFill="1" applyBorder="1" applyAlignment="1">
      <alignment horizontal="centerContinuous" vertical="top" wrapText="1"/>
    </xf>
    <xf numFmtId="0" fontId="0" fillId="13" borderId="23" xfId="0" applyFill="1" applyBorder="1" applyAlignment="1">
      <alignment horizontal="centerContinuous" vertical="top" wrapText="1"/>
    </xf>
    <xf numFmtId="37" fontId="0" fillId="13" borderId="23" xfId="0" applyNumberFormat="1" applyFill="1" applyBorder="1" applyAlignment="1">
      <alignment horizontal="centerContinuous" vertical="top" wrapText="1"/>
    </xf>
    <xf numFmtId="0" fontId="0" fillId="14" borderId="27" xfId="0" applyFill="1" applyBorder="1" applyAlignment="1">
      <alignment horizontal="centerContinuous"/>
    </xf>
    <xf numFmtId="0" fontId="0" fillId="14" borderId="28" xfId="0" applyFill="1" applyBorder="1" applyAlignment="1">
      <alignment horizontal="centerContinuous"/>
    </xf>
    <xf numFmtId="0" fontId="2" fillId="14" borderId="26" xfId="0" applyFont="1" applyFill="1" applyBorder="1" applyAlignment="1">
      <alignment horizontal="centerContinuous" vertical="top"/>
    </xf>
    <xf numFmtId="0" fontId="2" fillId="0" borderId="56" xfId="0" applyFont="1" applyFill="1" applyBorder="1"/>
    <xf numFmtId="0" fontId="2" fillId="0" borderId="14" xfId="0" applyFont="1" applyFill="1" applyBorder="1"/>
    <xf numFmtId="0" fontId="2" fillId="0" borderId="22" xfId="0" applyFont="1" applyFill="1" applyBorder="1" applyAlignment="1">
      <alignment vertical="top"/>
    </xf>
    <xf numFmtId="0" fontId="2" fillId="0" borderId="23" xfId="0" applyFont="1" applyFill="1" applyBorder="1"/>
    <xf numFmtId="0" fontId="2" fillId="0" borderId="57" xfId="0" applyFont="1" applyFill="1" applyBorder="1"/>
    <xf numFmtId="37" fontId="2" fillId="0" borderId="0" xfId="0" applyNumberFormat="1" applyFont="1" applyFill="1" applyBorder="1"/>
    <xf numFmtId="0" fontId="0" fillId="8" borderId="58" xfId="0" applyFill="1" applyBorder="1" applyAlignment="1">
      <alignment horizontal="center" vertical="top" wrapText="1"/>
    </xf>
    <xf numFmtId="37" fontId="0" fillId="8" borderId="49" xfId="0" applyNumberFormat="1" applyFill="1" applyBorder="1"/>
    <xf numFmtId="37" fontId="0" fillId="0" borderId="1" xfId="0" applyNumberFormat="1" applyFont="1" applyFill="1" applyBorder="1" applyAlignment="1">
      <alignment horizontal="right" wrapText="1"/>
    </xf>
    <xf numFmtId="37" fontId="0" fillId="0" borderId="1" xfId="0" applyNumberFormat="1" applyFont="1" applyFill="1" applyBorder="1"/>
    <xf numFmtId="37" fontId="0" fillId="0" borderId="1" xfId="0" applyNumberFormat="1" applyBorder="1" applyAlignment="1">
      <alignment horizontal="right"/>
    </xf>
    <xf numFmtId="164" fontId="0" fillId="0" borderId="1" xfId="0" applyNumberFormat="1" applyBorder="1" applyAlignment="1">
      <alignment horizontal="right"/>
    </xf>
    <xf numFmtId="164" fontId="0" fillId="0" borderId="1" xfId="0" applyNumberFormat="1" applyBorder="1"/>
    <xf numFmtId="0" fontId="0" fillId="5" borderId="1" xfId="0" applyFill="1" applyBorder="1" applyAlignment="1">
      <alignment horizontal="center" wrapText="1"/>
    </xf>
    <xf numFmtId="37" fontId="0" fillId="5" borderId="1" xfId="0" applyNumberFormat="1" applyFill="1" applyBorder="1" applyAlignment="1">
      <alignment horizontal="center"/>
    </xf>
    <xf numFmtId="0" fontId="0" fillId="0" borderId="0" xfId="0" applyFill="1" applyBorder="1" applyAlignment="1">
      <alignment horizontal="centerContinuous" wrapText="1"/>
    </xf>
    <xf numFmtId="0" fontId="2" fillId="0" borderId="0" xfId="0" applyFont="1" applyFill="1" applyBorder="1" applyAlignment="1">
      <alignment horizontal="centerContinuous" wrapText="1"/>
    </xf>
    <xf numFmtId="37" fontId="0" fillId="0" borderId="0" xfId="0" applyNumberFormat="1" applyFill="1" applyBorder="1" applyAlignment="1">
      <alignment horizontal="center"/>
    </xf>
    <xf numFmtId="0" fontId="2" fillId="0" borderId="0" xfId="0" applyFont="1" applyFill="1" applyBorder="1" applyAlignment="1">
      <alignment horizontal="centerContinuous"/>
    </xf>
    <xf numFmtId="0" fontId="6" fillId="0" borderId="0" xfId="0" applyFont="1" applyFill="1" applyBorder="1" applyAlignment="1">
      <alignment horizontal="centerContinuous"/>
    </xf>
    <xf numFmtId="0" fontId="0" fillId="8" borderId="17" xfId="0" applyFill="1" applyBorder="1"/>
    <xf numFmtId="37" fontId="0" fillId="8" borderId="1" xfId="0" applyNumberFormat="1" applyFill="1" applyBorder="1" applyAlignment="1">
      <alignment horizontal="right"/>
    </xf>
    <xf numFmtId="37" fontId="0" fillId="8" borderId="41" xfId="0" applyNumberFormat="1" applyFill="1" applyBorder="1" applyAlignment="1">
      <alignment horizontal="right"/>
    </xf>
    <xf numFmtId="0" fontId="0" fillId="8" borderId="0" xfId="0" applyFill="1" applyBorder="1"/>
    <xf numFmtId="0" fontId="0" fillId="8" borderId="18" xfId="0" applyFill="1" applyBorder="1"/>
    <xf numFmtId="0" fontId="0" fillId="8" borderId="1" xfId="0" applyFill="1" applyBorder="1" applyAlignment="1">
      <alignment horizontal="center"/>
    </xf>
    <xf numFmtId="0" fontId="0" fillId="8" borderId="41" xfId="0" applyFill="1" applyBorder="1" applyAlignment="1">
      <alignment horizontal="center"/>
    </xf>
    <xf numFmtId="0" fontId="0" fillId="8" borderId="31" xfId="0" applyFill="1" applyBorder="1"/>
    <xf numFmtId="165" fontId="0" fillId="8" borderId="1" xfId="0" applyNumberFormat="1" applyFill="1" applyBorder="1"/>
    <xf numFmtId="165" fontId="0" fillId="8" borderId="41" xfId="0" applyNumberFormat="1" applyFill="1" applyBorder="1"/>
    <xf numFmtId="0" fontId="0" fillId="8" borderId="48" xfId="0" applyFill="1" applyBorder="1"/>
    <xf numFmtId="0" fontId="0" fillId="10" borderId="34" xfId="0" applyFill="1" applyBorder="1" applyAlignment="1">
      <alignment horizontal="center"/>
    </xf>
    <xf numFmtId="0" fontId="0" fillId="10" borderId="35" xfId="0" applyFill="1" applyBorder="1" applyAlignment="1">
      <alignment horizontal="center"/>
    </xf>
    <xf numFmtId="0" fontId="0" fillId="8" borderId="17" xfId="0" applyFill="1" applyBorder="1" applyAlignment="1">
      <alignment horizontal="centerContinuous" wrapText="1"/>
    </xf>
    <xf numFmtId="0" fontId="0" fillId="8" borderId="0" xfId="0" applyFill="1" applyBorder="1" applyAlignment="1">
      <alignment horizontal="centerContinuous" wrapText="1"/>
    </xf>
    <xf numFmtId="0" fontId="0" fillId="8" borderId="18" xfId="0" applyFill="1" applyBorder="1" applyAlignment="1">
      <alignment horizontal="centerContinuous" wrapText="1"/>
    </xf>
    <xf numFmtId="0" fontId="0" fillId="8" borderId="17" xfId="0" applyFill="1" applyBorder="1" applyAlignment="1">
      <alignment horizontal="center"/>
    </xf>
    <xf numFmtId="0" fontId="0" fillId="8" borderId="0" xfId="0" applyFill="1" applyBorder="1" applyAlignment="1">
      <alignment horizontal="center"/>
    </xf>
    <xf numFmtId="0" fontId="0" fillId="8" borderId="18" xfId="0" applyFill="1" applyBorder="1" applyAlignment="1">
      <alignment horizontal="center"/>
    </xf>
    <xf numFmtId="37" fontId="0" fillId="8" borderId="17" xfId="0" applyNumberFormat="1" applyFill="1" applyBorder="1"/>
    <xf numFmtId="37" fontId="0" fillId="8" borderId="0" xfId="0" applyNumberFormat="1" applyFill="1" applyBorder="1"/>
    <xf numFmtId="37" fontId="0" fillId="8" borderId="18" xfId="0" applyNumberFormat="1" applyFill="1" applyBorder="1"/>
    <xf numFmtId="0" fontId="0" fillId="10" borderId="1" xfId="0" applyFill="1" applyBorder="1"/>
    <xf numFmtId="3" fontId="0" fillId="8" borderId="58" xfId="0" applyNumberFormat="1" applyFill="1" applyBorder="1"/>
    <xf numFmtId="3" fontId="0" fillId="8" borderId="49" xfId="0" applyNumberFormat="1" applyFill="1" applyBorder="1"/>
    <xf numFmtId="0" fontId="2" fillId="0" borderId="0" xfId="0" applyFont="1" applyFill="1" applyBorder="1" applyAlignment="1">
      <alignment horizontal="center" vertical="top" wrapText="1"/>
    </xf>
    <xf numFmtId="0" fontId="0" fillId="2" borderId="1" xfId="0" applyFill="1" applyBorder="1" applyAlignment="1">
      <alignment wrapText="1"/>
    </xf>
    <xf numFmtId="0" fontId="0" fillId="17" borderId="1" xfId="0" applyFill="1" applyBorder="1" applyAlignment="1">
      <alignment wrapText="1"/>
    </xf>
    <xf numFmtId="0" fontId="0" fillId="17" borderId="1" xfId="0" applyFill="1" applyBorder="1" applyAlignment="1">
      <alignment vertical="top" wrapText="1"/>
    </xf>
    <xf numFmtId="0" fontId="0" fillId="2" borderId="1" xfId="0" applyFill="1" applyBorder="1" applyAlignment="1">
      <alignment vertical="top" wrapText="1"/>
    </xf>
    <xf numFmtId="0" fontId="2" fillId="4" borderId="1" xfId="0" applyFont="1" applyFill="1" applyBorder="1"/>
    <xf numFmtId="0" fontId="2" fillId="0" borderId="1" xfId="0" applyFont="1" applyBorder="1"/>
    <xf numFmtId="0" fontId="2" fillId="0" borderId="1" xfId="0" applyFont="1" applyBorder="1" applyAlignment="1">
      <alignment horizontal="left" vertical="top"/>
    </xf>
    <xf numFmtId="0" fontId="2" fillId="0" borderId="4" xfId="0" applyFont="1" applyBorder="1" applyAlignment="1">
      <alignment horizontal="center" vertical="top"/>
    </xf>
    <xf numFmtId="0" fontId="0" fillId="0" borderId="4" xfId="0" applyBorder="1" applyAlignment="1">
      <alignment horizontal="center" vertical="top"/>
    </xf>
    <xf numFmtId="0" fontId="0" fillId="0" borderId="9" xfId="0" applyBorder="1" applyAlignment="1">
      <alignment horizontal="center" vertical="top"/>
    </xf>
    <xf numFmtId="0" fontId="0" fillId="0" borderId="1" xfId="0" applyBorder="1" applyAlignment="1">
      <alignment vertical="top" wrapText="1"/>
    </xf>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Border="1" applyAlignment="1">
      <alignment vertical="top" wrapText="1"/>
    </xf>
    <xf numFmtId="0" fontId="0" fillId="0" borderId="4" xfId="0" applyFill="1" applyBorder="1" applyAlignment="1">
      <alignment horizontal="center" vertical="top"/>
    </xf>
    <xf numFmtId="0" fontId="0" fillId="0" borderId="1" xfId="0" applyFill="1" applyBorder="1" applyAlignment="1">
      <alignment wrapText="1"/>
    </xf>
    <xf numFmtId="0" fontId="11" fillId="0" borderId="1" xfId="0" applyFont="1" applyFill="1" applyBorder="1" applyAlignment="1">
      <alignment wrapText="1"/>
    </xf>
    <xf numFmtId="0" fontId="2" fillId="0" borderId="1" xfId="0" applyFont="1" applyFill="1" applyBorder="1" applyAlignment="1">
      <alignment vertical="top" wrapText="1"/>
    </xf>
    <xf numFmtId="0" fontId="0" fillId="0" borderId="1" xfId="0" applyFont="1" applyFill="1" applyBorder="1" applyAlignment="1">
      <alignment vertical="top" wrapText="1"/>
    </xf>
    <xf numFmtId="0" fontId="2" fillId="0" borderId="1" xfId="0" applyFont="1" applyFill="1" applyBorder="1"/>
    <xf numFmtId="0" fontId="0" fillId="0" borderId="1" xfId="0" applyFill="1" applyBorder="1"/>
    <xf numFmtId="37" fontId="0" fillId="0" borderId="0" xfId="0" applyNumberFormat="1" applyAlignment="1">
      <alignment horizontal="center" wrapText="1"/>
    </xf>
    <xf numFmtId="0" fontId="0" fillId="0" borderId="0" xfId="0" applyAlignment="1">
      <alignment horizontal="center" wrapText="1"/>
    </xf>
    <xf numFmtId="37" fontId="0" fillId="0" borderId="0" xfId="0" applyNumberFormat="1" applyAlignment="1">
      <alignment horizontal="right"/>
    </xf>
    <xf numFmtId="0" fontId="0" fillId="5" borderId="25" xfId="0" applyFill="1" applyBorder="1"/>
    <xf numFmtId="0" fontId="0" fillId="5" borderId="10" xfId="0" applyFill="1" applyBorder="1"/>
    <xf numFmtId="37" fontId="0" fillId="5" borderId="10" xfId="0" applyNumberFormat="1" applyFill="1" applyBorder="1"/>
    <xf numFmtId="37" fontId="0" fillId="5" borderId="50" xfId="0" applyNumberFormat="1" applyFill="1" applyBorder="1" applyAlignment="1">
      <alignment horizontal="right"/>
    </xf>
    <xf numFmtId="0" fontId="0" fillId="5" borderId="6" xfId="0" applyFill="1" applyBorder="1" applyAlignment="1">
      <alignment vertical="top"/>
    </xf>
    <xf numFmtId="0" fontId="2" fillId="0" borderId="17" xfId="0" applyFont="1" applyFill="1" applyBorder="1"/>
    <xf numFmtId="0" fontId="2" fillId="0" borderId="1" xfId="0" applyFont="1" applyBorder="1" applyAlignment="1">
      <alignment vertical="top"/>
    </xf>
    <xf numFmtId="0" fontId="0" fillId="3" borderId="0" xfId="0" applyFill="1" applyBorder="1" applyAlignment="1">
      <alignment vertical="top"/>
    </xf>
    <xf numFmtId="37" fontId="0" fillId="3" borderId="0" xfId="0" applyNumberFormat="1" applyFill="1" applyBorder="1" applyAlignment="1">
      <alignment vertical="top"/>
    </xf>
    <xf numFmtId="37" fontId="15" fillId="3" borderId="4" xfId="0" applyNumberFormat="1" applyFont="1" applyFill="1" applyBorder="1" applyAlignment="1">
      <alignment horizontal="centerContinuous" vertical="distributed" wrapText="1"/>
    </xf>
    <xf numFmtId="37" fontId="0" fillId="3" borderId="0" xfId="0" applyNumberFormat="1" applyFill="1" applyBorder="1" applyAlignment="1">
      <alignment vertical="distributed" wrapText="1"/>
    </xf>
    <xf numFmtId="0" fontId="15" fillId="3" borderId="41" xfId="0" applyFont="1" applyFill="1" applyBorder="1" applyAlignment="1">
      <alignment horizontal="center" vertical="top" wrapText="1"/>
    </xf>
    <xf numFmtId="0" fontId="15" fillId="3" borderId="41" xfId="0" applyFont="1" applyFill="1" applyBorder="1" applyAlignment="1">
      <alignment horizontal="center" vertical="center" wrapText="1"/>
    </xf>
    <xf numFmtId="0" fontId="0" fillId="3" borderId="20" xfId="0" applyFill="1" applyBorder="1" applyAlignment="1">
      <alignment horizontal="centerContinuous" vertical="distributed" wrapText="1"/>
    </xf>
    <xf numFmtId="0" fontId="0" fillId="3" borderId="18" xfId="0" applyFill="1" applyBorder="1" applyAlignment="1">
      <alignment vertical="distributed" wrapText="1"/>
    </xf>
    <xf numFmtId="43" fontId="15" fillId="3" borderId="41" xfId="2" applyFont="1" applyFill="1" applyBorder="1" applyAlignment="1">
      <alignment vertical="top" wrapText="1"/>
    </xf>
    <xf numFmtId="0" fontId="15" fillId="3" borderId="1" xfId="0" applyFont="1" applyFill="1" applyBorder="1" applyAlignment="1">
      <alignment horizontal="center" vertical="top" wrapText="1"/>
    </xf>
    <xf numFmtId="3" fontId="0" fillId="0" borderId="5" xfId="0" applyNumberFormat="1" applyBorder="1"/>
    <xf numFmtId="0" fontId="0" fillId="0" borderId="4" xfId="0" applyBorder="1" applyAlignment="1">
      <alignment wrapText="1"/>
    </xf>
    <xf numFmtId="0" fontId="0" fillId="0" borderId="5" xfId="0" applyBorder="1"/>
    <xf numFmtId="165" fontId="0" fillId="0" borderId="0" xfId="0" applyNumberFormat="1" applyFill="1" applyBorder="1"/>
    <xf numFmtId="37" fontId="0" fillId="16" borderId="1" xfId="0" applyNumberFormat="1" applyFont="1" applyFill="1" applyBorder="1"/>
    <xf numFmtId="37" fontId="2" fillId="6" borderId="3" xfId="0" applyNumberFormat="1" applyFont="1" applyFill="1" applyBorder="1"/>
    <xf numFmtId="37" fontId="0" fillId="16" borderId="1" xfId="0" applyNumberFormat="1" applyFill="1" applyBorder="1"/>
    <xf numFmtId="0" fontId="0" fillId="6" borderId="9" xfId="0" applyFill="1" applyBorder="1" applyAlignment="1">
      <alignment horizontal="centerContinuous" wrapText="1"/>
    </xf>
    <xf numFmtId="0" fontId="0" fillId="6" borderId="29" xfId="0" applyFill="1" applyBorder="1" applyAlignment="1">
      <alignment horizontal="centerContinuous" wrapText="1"/>
    </xf>
    <xf numFmtId="0" fontId="0" fillId="7" borderId="26" xfId="0" applyFill="1" applyBorder="1"/>
    <xf numFmtId="0" fontId="0" fillId="7" borderId="27" xfId="0" applyFill="1" applyBorder="1"/>
    <xf numFmtId="0" fontId="0" fillId="10" borderId="32" xfId="0" applyFill="1" applyBorder="1" applyAlignment="1">
      <alignment horizontal="center"/>
    </xf>
    <xf numFmtId="37" fontId="0" fillId="9" borderId="1" xfId="0" applyNumberFormat="1" applyFill="1" applyBorder="1"/>
    <xf numFmtId="0" fontId="0" fillId="9" borderId="1" xfId="0" applyFill="1" applyBorder="1"/>
    <xf numFmtId="3" fontId="0" fillId="9" borderId="1" xfId="0" applyNumberFormat="1" applyFill="1" applyBorder="1"/>
    <xf numFmtId="0" fontId="0" fillId="10" borderId="46" xfId="0" applyFill="1" applyBorder="1" applyAlignment="1">
      <alignment horizontal="center"/>
    </xf>
    <xf numFmtId="0" fontId="0" fillId="10" borderId="14" xfId="0" applyFill="1" applyBorder="1" applyAlignment="1">
      <alignment horizontal="center" vertical="top" wrapText="1"/>
    </xf>
    <xf numFmtId="37" fontId="0" fillId="10" borderId="35" xfId="0" applyNumberFormat="1" applyFill="1" applyBorder="1"/>
    <xf numFmtId="0" fontId="0" fillId="10" borderId="1" xfId="0" applyFill="1" applyBorder="1" applyAlignment="1">
      <alignment horizontal="center" vertical="top" wrapText="1"/>
    </xf>
    <xf numFmtId="37" fontId="0" fillId="10" borderId="1" xfId="0" applyNumberFormat="1" applyFill="1" applyBorder="1"/>
    <xf numFmtId="0" fontId="16" fillId="0" borderId="0" xfId="0" applyFont="1" applyBorder="1" applyAlignment="1">
      <alignment wrapText="1"/>
    </xf>
    <xf numFmtId="37" fontId="17" fillId="3" borderId="0" xfId="0" applyNumberFormat="1" applyFont="1" applyFill="1" applyBorder="1" applyAlignment="1">
      <alignment vertical="top"/>
    </xf>
    <xf numFmtId="3" fontId="0" fillId="8" borderId="1" xfId="0" applyNumberFormat="1" applyFill="1" applyBorder="1" applyAlignment="1"/>
    <xf numFmtId="3" fontId="0" fillId="8" borderId="41" xfId="0" applyNumberFormat="1" applyFill="1" applyBorder="1" applyAlignment="1"/>
    <xf numFmtId="0" fontId="0" fillId="10" borderId="60" xfId="0" applyFill="1" applyBorder="1"/>
    <xf numFmtId="165" fontId="0" fillId="8" borderId="58" xfId="0" applyNumberFormat="1" applyFill="1" applyBorder="1"/>
    <xf numFmtId="165" fontId="0" fillId="8" borderId="49" xfId="0" applyNumberFormat="1" applyFill="1" applyBorder="1"/>
    <xf numFmtId="0" fontId="0" fillId="2" borderId="61" xfId="0" applyFill="1" applyBorder="1"/>
    <xf numFmtId="0" fontId="0" fillId="5" borderId="4" xfId="0" applyFill="1" applyBorder="1"/>
    <xf numFmtId="37" fontId="0" fillId="5" borderId="5" xfId="0" applyNumberFormat="1" applyFill="1" applyBorder="1" applyAlignment="1">
      <alignment horizontal="right" vertical="top"/>
    </xf>
    <xf numFmtId="0" fontId="0" fillId="0" borderId="1" xfId="0" applyFill="1" applyBorder="1" applyAlignment="1">
      <alignment horizontal="center"/>
    </xf>
    <xf numFmtId="0" fontId="0" fillId="0" borderId="4" xfId="0" applyBorder="1"/>
    <xf numFmtId="0" fontId="0" fillId="0" borderId="0" xfId="0" applyAlignment="1">
      <alignment horizontal="center"/>
    </xf>
    <xf numFmtId="0" fontId="0" fillId="0" borderId="4" xfId="0" applyBorder="1" applyAlignment="1">
      <alignment horizontal="center"/>
    </xf>
    <xf numFmtId="37" fontId="0" fillId="0" borderId="1" xfId="0" applyNumberFormat="1" applyBorder="1" applyAlignment="1">
      <alignment horizontal="center"/>
    </xf>
    <xf numFmtId="5" fontId="2" fillId="0" borderId="35" xfId="3" applyNumberFormat="1" applyFont="1" applyFill="1" applyBorder="1"/>
    <xf numFmtId="5" fontId="2" fillId="0" borderId="49" xfId="3" applyNumberFormat="1" applyFont="1" applyFill="1" applyBorder="1"/>
    <xf numFmtId="166" fontId="0" fillId="13" borderId="24" xfId="0" applyNumberFormat="1" applyFill="1" applyBorder="1" applyAlignment="1">
      <alignment horizontal="right" vertical="top"/>
    </xf>
    <xf numFmtId="5" fontId="2" fillId="0" borderId="1" xfId="0" applyNumberFormat="1" applyFont="1" applyBorder="1" applyAlignment="1">
      <alignment horizontal="right"/>
    </xf>
    <xf numFmtId="0" fontId="15" fillId="3" borderId="1" xfId="0" applyFont="1" applyFill="1" applyBorder="1" applyAlignment="1">
      <alignment horizontal="center"/>
    </xf>
    <xf numFmtId="0" fontId="18" fillId="0" borderId="32" xfId="0" applyFont="1" applyFill="1" applyBorder="1" applyAlignment="1">
      <alignment horizontal="centerContinuous"/>
    </xf>
    <xf numFmtId="0" fontId="15" fillId="3" borderId="43" xfId="0" applyFont="1" applyFill="1" applyBorder="1" applyAlignment="1">
      <alignment horizontal="center" vertical="distributed"/>
    </xf>
    <xf numFmtId="0" fontId="15" fillId="0" borderId="59" xfId="0" applyFont="1" applyBorder="1" applyAlignment="1">
      <alignment horizontal="center" vertical="distributed"/>
    </xf>
    <xf numFmtId="0" fontId="15" fillId="0" borderId="42" xfId="0" applyFont="1" applyBorder="1" applyAlignment="1">
      <alignment horizontal="center" vertical="distributed"/>
    </xf>
    <xf numFmtId="0" fontId="15" fillId="3" borderId="43" xfId="0" applyFont="1" applyFill="1" applyBorder="1" applyAlignment="1">
      <alignment horizontal="center" vertical="center" wrapText="1"/>
    </xf>
    <xf numFmtId="0" fontId="15" fillId="0" borderId="59" xfId="0" applyFont="1" applyBorder="1" applyAlignment="1">
      <alignment horizontal="center" vertical="center" wrapText="1"/>
    </xf>
    <xf numFmtId="0" fontId="15" fillId="0" borderId="42" xfId="0" applyFont="1" applyBorder="1" applyAlignment="1">
      <alignment horizontal="center" vertical="center" wrapText="1"/>
    </xf>
    <xf numFmtId="0" fontId="14" fillId="3" borderId="43"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42" xfId="0" applyBorder="1" applyAlignment="1">
      <alignment horizontal="center" vertical="center" wrapText="1"/>
    </xf>
    <xf numFmtId="0" fontId="14" fillId="9" borderId="2" xfId="0" applyFont="1" applyFill="1" applyBorder="1" applyAlignment="1">
      <alignment vertical="center" wrapText="1"/>
    </xf>
    <xf numFmtId="0" fontId="14" fillId="9" borderId="13" xfId="0" applyFont="1" applyFill="1" applyBorder="1" applyAlignment="1">
      <alignment vertical="center" wrapText="1"/>
    </xf>
    <xf numFmtId="0" fontId="14" fillId="9" borderId="8" xfId="0" applyFont="1" applyFill="1" applyBorder="1" applyAlignment="1">
      <alignment vertical="center" wrapText="1"/>
    </xf>
    <xf numFmtId="0" fontId="0" fillId="9" borderId="2" xfId="0" applyFill="1" applyBorder="1" applyAlignment="1">
      <alignment horizontal="center" vertical="top" wrapText="1"/>
    </xf>
    <xf numFmtId="0" fontId="0" fillId="9" borderId="8" xfId="0" applyFill="1" applyBorder="1" applyAlignment="1">
      <alignment horizontal="center" vertical="top" wrapText="1"/>
    </xf>
    <xf numFmtId="0" fontId="0" fillId="10" borderId="2" xfId="0" applyFill="1" applyBorder="1" applyAlignment="1">
      <alignment horizontal="center" vertical="top" wrapText="1"/>
    </xf>
    <xf numFmtId="0" fontId="0" fillId="10" borderId="8" xfId="0" applyFill="1" applyBorder="1" applyAlignment="1">
      <alignment horizontal="center" vertical="top" wrapText="1"/>
    </xf>
    <xf numFmtId="0" fontId="0" fillId="0" borderId="1" xfId="0" applyBorder="1" applyAlignment="1" applyProtection="1">
      <alignment horizontal="center" vertical="center" wrapText="1"/>
      <protection locked="0"/>
    </xf>
    <xf numFmtId="37" fontId="0" fillId="4" borderId="1" xfId="0" applyNumberFormat="1" applyFill="1" applyBorder="1" applyProtection="1">
      <protection locked="0"/>
    </xf>
    <xf numFmtId="0" fontId="0" fillId="0" borderId="1" xfId="0" applyBorder="1" applyAlignment="1" applyProtection="1">
      <alignment horizontal="center" vertical="top" wrapText="1"/>
      <protection locked="0"/>
    </xf>
    <xf numFmtId="37" fontId="0" fillId="0" borderId="1" xfId="0" applyNumberFormat="1" applyBorder="1" applyProtection="1">
      <protection locked="0"/>
    </xf>
    <xf numFmtId="0" fontId="0" fillId="0" borderId="1" xfId="0" applyFill="1" applyBorder="1" applyAlignment="1" applyProtection="1">
      <alignment horizontal="center"/>
      <protection locked="0"/>
    </xf>
    <xf numFmtId="0" fontId="0" fillId="0" borderId="5" xfId="0" applyBorder="1" applyAlignment="1" applyProtection="1">
      <alignment horizontal="center" vertical="center" wrapText="1"/>
      <protection locked="0"/>
    </xf>
    <xf numFmtId="37" fontId="0" fillId="0" borderId="1" xfId="0" applyNumberFormat="1" applyBorder="1" applyAlignment="1" applyProtection="1">
      <protection locked="0"/>
    </xf>
    <xf numFmtId="37" fontId="0" fillId="0" borderId="1" xfId="0" applyNumberFormat="1" applyFill="1" applyBorder="1" applyAlignment="1" applyProtection="1">
      <alignment horizontal="center" vertical="center"/>
      <protection locked="0"/>
    </xf>
    <xf numFmtId="37" fontId="0" fillId="0" borderId="1" xfId="0" applyNumberFormat="1" applyFill="1" applyBorder="1" applyProtection="1">
      <protection locked="0"/>
    </xf>
    <xf numFmtId="37" fontId="0" fillId="17" borderId="1" xfId="0" applyNumberFormat="1" applyFill="1" applyBorder="1" applyAlignment="1" applyProtection="1">
      <alignment horizontal="center" vertical="center"/>
      <protection locked="0"/>
    </xf>
    <xf numFmtId="37" fontId="0" fillId="2" borderId="1" xfId="0" applyNumberFormat="1" applyFill="1" applyBorder="1" applyAlignment="1" applyProtection="1">
      <alignment horizontal="center" vertical="center"/>
      <protection locked="0"/>
    </xf>
    <xf numFmtId="37" fontId="0" fillId="17" borderId="1" xfId="0" applyNumberFormat="1" applyFill="1" applyBorder="1" applyProtection="1">
      <protection locked="0"/>
    </xf>
    <xf numFmtId="164" fontId="0" fillId="17" borderId="1" xfId="0" applyNumberFormat="1" applyFill="1" applyBorder="1" applyProtection="1">
      <protection locked="0"/>
    </xf>
    <xf numFmtId="37" fontId="0" fillId="2" borderId="1" xfId="0" applyNumberFormat="1" applyFill="1" applyBorder="1" applyProtection="1">
      <protection locked="0"/>
    </xf>
    <xf numFmtId="37" fontId="0" fillId="2" borderId="1" xfId="0" applyNumberFormat="1" applyFill="1" applyBorder="1" applyAlignment="1" applyProtection="1">
      <alignment vertical="top"/>
      <protection locked="0"/>
    </xf>
    <xf numFmtId="164" fontId="0" fillId="2" borderId="1" xfId="1" applyNumberFormat="1" applyFont="1" applyFill="1" applyBorder="1" applyAlignment="1" applyProtection="1">
      <alignment horizontal="center"/>
      <protection locked="0"/>
    </xf>
    <xf numFmtId="37" fontId="0" fillId="0" borderId="4" xfId="0" applyNumberFormat="1" applyFill="1" applyBorder="1" applyProtection="1">
      <protection locked="0"/>
    </xf>
    <xf numFmtId="37" fontId="0" fillId="0" borderId="4" xfId="0" applyNumberFormat="1" applyBorder="1" applyProtection="1">
      <protection locked="0"/>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hyperlink" Target="http://www.taylorporter.com/our-attorneys/john-f-mcdermot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1861038</xdr:colOff>
      <xdr:row>0</xdr:row>
      <xdr:rowOff>0</xdr:rowOff>
    </xdr:from>
    <xdr:to>
      <xdr:col>3</xdr:col>
      <xdr:colOff>4443782</xdr:colOff>
      <xdr:row>5</xdr:row>
      <xdr:rowOff>80596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4442" y="0"/>
          <a:ext cx="2582744" cy="1033096"/>
        </a:xfrm>
        <a:prstGeom prst="rect">
          <a:avLst/>
        </a:prstGeom>
      </xdr:spPr>
    </xdr:pic>
    <xdr:clientData/>
  </xdr:twoCellAnchor>
  <xdr:twoCellAnchor>
    <xdr:from>
      <xdr:col>1</xdr:col>
      <xdr:colOff>300403</xdr:colOff>
      <xdr:row>5</xdr:row>
      <xdr:rowOff>139212</xdr:rowOff>
    </xdr:from>
    <xdr:to>
      <xdr:col>6</xdr:col>
      <xdr:colOff>593480</xdr:colOff>
      <xdr:row>11</xdr:row>
      <xdr:rowOff>73270</xdr:rowOff>
    </xdr:to>
    <xdr:sp macro="" textlink="">
      <xdr:nvSpPr>
        <xdr:cNvPr id="3" name="TextBox 2">
          <a:hlinkClick xmlns:r="http://schemas.openxmlformats.org/officeDocument/2006/relationships" r:id="rId2"/>
        </xdr:cNvPr>
        <xdr:cNvSpPr txBox="1"/>
      </xdr:nvSpPr>
      <xdr:spPr>
        <a:xfrm>
          <a:off x="908538" y="1091712"/>
          <a:ext cx="7524750" cy="1077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50" b="1" i="1">
              <a:solidFill>
                <a:schemeClr val="dk1"/>
              </a:solidFill>
              <a:effectLst/>
              <a:latin typeface="+mn-lt"/>
              <a:ea typeface="+mn-ea"/>
              <a:cs typeface="+mn-cs"/>
            </a:rPr>
            <a:t>DISCLAIMER: </a:t>
          </a:r>
          <a:r>
            <a:rPr lang="en-US" sz="850" i="1">
              <a:solidFill>
                <a:schemeClr val="dk1"/>
              </a:solidFill>
              <a:effectLst/>
              <a:latin typeface="+mn-lt"/>
              <a:ea typeface="+mn-ea"/>
              <a:cs typeface="+mn-cs"/>
            </a:rPr>
            <a:t>Below is a tax planning tool created by Taylor Porter tax attorney </a:t>
          </a:r>
          <a:r>
            <a:rPr lang="en-US" sz="850" i="1" u="sng">
              <a:solidFill>
                <a:srgbClr val="0070C0"/>
              </a:solidFill>
              <a:effectLst/>
              <a:latin typeface="+mn-lt"/>
              <a:ea typeface="+mn-ea"/>
              <a:cs typeface="+mn-cs"/>
            </a:rPr>
            <a:t>John McDermott </a:t>
          </a:r>
          <a:r>
            <a:rPr lang="en-US" sz="850" i="1">
              <a:solidFill>
                <a:schemeClr val="dk1"/>
              </a:solidFill>
              <a:effectLst/>
              <a:latin typeface="+mn-lt"/>
              <a:ea typeface="+mn-ea"/>
              <a:cs typeface="+mn-cs"/>
            </a:rPr>
            <a:t>to provide an estimate of how individuals may be affected by the 2017 Tax Cuts and Jobs Act.  By using your 2017 or 2016 tax information to complete the survey below, a summary report will be generated to estimate what your tax liability would have been under the new tax law. Although this tool is intended to provide a reasonably accurate analysis, certain compromises were made for convenience and simplicity, and assumptions were made with respect to how the law will be interpreted and applied. Use of this tool is for the your informational purposes only. Your voluntary use of this tool is not intended to constitute, and does not constitute legal or tax advice to you. Your use of this tool does not constitute an engagement for legal services, and by using this tool you do not become a client of Taylor Porter. Your use of this tool signifies your acceptance and agreement to the foregoing terms</a:t>
          </a:r>
          <a:r>
            <a:rPr lang="en-US" sz="850" i="1" baseline="0">
              <a:solidFill>
                <a:schemeClr val="dk1"/>
              </a:solidFill>
              <a:effectLst/>
              <a:latin typeface="+mn-lt"/>
              <a:ea typeface="+mn-ea"/>
              <a:cs typeface="+mn-cs"/>
            </a:rPr>
            <a:t> and conditions. </a:t>
          </a:r>
          <a:r>
            <a:rPr lang="en-US" sz="850" i="1">
              <a:solidFill>
                <a:schemeClr val="dk1"/>
              </a:solidFill>
              <a:effectLst/>
              <a:latin typeface="+mn-lt"/>
              <a:ea typeface="+mn-ea"/>
              <a:cs typeface="+mn-cs"/>
            </a:rPr>
            <a:t>You should consult your attorney, CPA, or other tax advisor for advice regarding your specific tax situation.</a:t>
          </a:r>
        </a:p>
      </xdr:txBody>
    </xdr:sp>
    <xdr:clientData/>
  </xdr:twoCellAnchor>
  <xdr:twoCellAnchor>
    <xdr:from>
      <xdr:col>1</xdr:col>
      <xdr:colOff>307731</xdr:colOff>
      <xdr:row>105</xdr:row>
      <xdr:rowOff>139211</xdr:rowOff>
    </xdr:from>
    <xdr:to>
      <xdr:col>6</xdr:col>
      <xdr:colOff>359020</xdr:colOff>
      <xdr:row>107</xdr:row>
      <xdr:rowOff>65942</xdr:rowOff>
    </xdr:to>
    <xdr:sp macro="" textlink="">
      <xdr:nvSpPr>
        <xdr:cNvPr id="5" name="TextBox 4"/>
        <xdr:cNvSpPr txBox="1"/>
      </xdr:nvSpPr>
      <xdr:spPr>
        <a:xfrm>
          <a:off x="915866" y="26823865"/>
          <a:ext cx="7282962" cy="307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i="1">
              <a:solidFill>
                <a:srgbClr val="0070C0"/>
              </a:solidFill>
            </a:rPr>
            <a:t>When</a:t>
          </a:r>
          <a:r>
            <a:rPr lang="en-US" sz="1200" b="1" i="1" baseline="0">
              <a:solidFill>
                <a:srgbClr val="0070C0"/>
              </a:solidFill>
            </a:rPr>
            <a:t> finished inputting information, please click on the "Report of Adjustments" tab for your complete report.</a:t>
          </a:r>
          <a:endParaRPr lang="en-US" sz="1200" b="1" i="1">
            <a:solidFill>
              <a:srgbClr val="0070C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2:P133"/>
  <sheetViews>
    <sheetView tabSelected="1" zoomScale="130" zoomScaleNormal="130" workbookViewId="0">
      <selection activeCell="E17" sqref="E17"/>
    </sheetView>
  </sheetViews>
  <sheetFormatPr defaultRowHeight="15" x14ac:dyDescent="0.25"/>
  <cols>
    <col min="2" max="2" width="7.7109375" customWidth="1"/>
    <col min="3" max="3" width="4.85546875" style="5" customWidth="1"/>
    <col min="4" max="4" width="67.42578125" customWidth="1"/>
    <col min="5" max="5" width="15.7109375" customWidth="1"/>
    <col min="6" max="6" width="12.7109375" style="13" customWidth="1"/>
    <col min="7" max="7" width="11" customWidth="1"/>
    <col min="8" max="9" width="9.140625" customWidth="1"/>
    <col min="10" max="10" width="9.140625" style="13" customWidth="1"/>
    <col min="11" max="11" width="9.140625" style="47" customWidth="1"/>
    <col min="12" max="12" width="9.140625" customWidth="1"/>
  </cols>
  <sheetData>
    <row r="12" spans="2:12" ht="15.75" thickBot="1" x14ac:dyDescent="0.3"/>
    <row r="13" spans="2:12" ht="21" x14ac:dyDescent="0.35">
      <c r="B13" s="392" t="s">
        <v>0</v>
      </c>
      <c r="C13" s="246"/>
      <c r="D13" s="247"/>
      <c r="E13" s="247"/>
      <c r="F13" s="248"/>
      <c r="G13" s="249"/>
    </row>
    <row r="14" spans="2:12" ht="15.75" thickBot="1" x14ac:dyDescent="0.3">
      <c r="B14" s="250" t="s">
        <v>34</v>
      </c>
      <c r="C14" s="251"/>
      <c r="D14" s="252"/>
      <c r="E14" s="252"/>
      <c r="F14" s="253"/>
      <c r="G14" s="254"/>
    </row>
    <row r="15" spans="2:12" x14ac:dyDescent="0.25">
      <c r="B15" s="235"/>
      <c r="C15" s="40"/>
      <c r="D15" s="34"/>
      <c r="E15" s="34"/>
      <c r="F15" s="36"/>
      <c r="G15" s="236"/>
      <c r="H15" s="58"/>
      <c r="I15" s="58"/>
      <c r="J15" s="67"/>
      <c r="K15" s="230"/>
      <c r="L15" s="2"/>
    </row>
    <row r="16" spans="2:12" ht="63.75" x14ac:dyDescent="0.25">
      <c r="B16" s="235"/>
      <c r="C16" s="38">
        <v>1</v>
      </c>
      <c r="D16" s="341" t="s">
        <v>240</v>
      </c>
      <c r="E16" s="351" t="s">
        <v>269</v>
      </c>
      <c r="F16" s="344" t="s">
        <v>257</v>
      </c>
      <c r="G16" s="348"/>
      <c r="H16" s="58"/>
      <c r="I16" s="58"/>
      <c r="J16" s="67"/>
      <c r="K16" s="230"/>
      <c r="L16" s="2"/>
    </row>
    <row r="17" spans="2:16" ht="30" x14ac:dyDescent="0.25">
      <c r="B17" s="235"/>
      <c r="C17" s="40"/>
      <c r="D17" s="321" t="s">
        <v>32</v>
      </c>
      <c r="E17" s="409" t="s">
        <v>268</v>
      </c>
      <c r="F17" s="345"/>
      <c r="G17" s="349"/>
      <c r="H17" s="58"/>
      <c r="I17" s="58"/>
      <c r="J17" s="67"/>
      <c r="K17" s="230"/>
      <c r="L17" s="2"/>
      <c r="P17" s="8"/>
    </row>
    <row r="18" spans="2:16" x14ac:dyDescent="0.25">
      <c r="B18" s="235"/>
      <c r="C18" s="40"/>
      <c r="D18" s="237"/>
      <c r="E18" s="39"/>
      <c r="F18" s="36"/>
      <c r="G18" s="236"/>
      <c r="H18" s="58"/>
      <c r="I18" s="58"/>
      <c r="J18" s="67"/>
      <c r="K18" s="231"/>
      <c r="L18" s="2"/>
      <c r="P18" s="8"/>
    </row>
    <row r="19" spans="2:16" x14ac:dyDescent="0.25">
      <c r="B19" s="235"/>
      <c r="C19" s="48">
        <v>2</v>
      </c>
      <c r="D19" s="315" t="s">
        <v>69</v>
      </c>
      <c r="E19" s="34"/>
      <c r="F19" s="410"/>
      <c r="G19" s="236"/>
      <c r="H19" s="58"/>
      <c r="I19" s="58"/>
      <c r="J19" s="67"/>
      <c r="K19" s="230"/>
      <c r="L19" s="2"/>
    </row>
    <row r="20" spans="2:16" x14ac:dyDescent="0.25">
      <c r="B20" s="235"/>
      <c r="C20" s="56"/>
      <c r="D20" s="238"/>
      <c r="E20" s="34"/>
      <c r="F20" s="36"/>
      <c r="G20" s="236"/>
      <c r="H20" s="58"/>
      <c r="I20" s="58"/>
      <c r="J20" s="67"/>
      <c r="K20" s="230"/>
      <c r="L20" s="2"/>
    </row>
    <row r="21" spans="2:16" x14ac:dyDescent="0.25">
      <c r="B21" s="235"/>
      <c r="C21" s="38">
        <v>3</v>
      </c>
      <c r="D21" s="316" t="s">
        <v>243</v>
      </c>
      <c r="E21" s="34"/>
      <c r="F21" s="410"/>
      <c r="G21" s="236"/>
      <c r="H21" s="124"/>
      <c r="I21" s="58"/>
      <c r="J21" s="67"/>
      <c r="K21" s="230"/>
      <c r="L21" s="2"/>
    </row>
    <row r="22" spans="2:16" x14ac:dyDescent="0.25">
      <c r="B22" s="235"/>
      <c r="C22" s="40"/>
      <c r="D22" s="34"/>
      <c r="E22" s="34"/>
      <c r="F22" s="36"/>
      <c r="G22" s="236"/>
      <c r="H22" s="58"/>
      <c r="I22" s="58"/>
      <c r="J22" s="67"/>
      <c r="K22" s="231"/>
      <c r="L22" s="2"/>
    </row>
    <row r="23" spans="2:16" x14ac:dyDescent="0.25">
      <c r="B23" s="235"/>
      <c r="C23" s="38">
        <v>4</v>
      </c>
      <c r="D23" s="317" t="s">
        <v>241</v>
      </c>
      <c r="E23" s="411" t="s">
        <v>33</v>
      </c>
      <c r="F23" s="36"/>
      <c r="G23" s="236"/>
      <c r="H23" s="58"/>
      <c r="I23" s="58"/>
      <c r="J23" s="67"/>
      <c r="K23" s="230"/>
      <c r="L23" s="58"/>
    </row>
    <row r="24" spans="2:16" x14ac:dyDescent="0.25">
      <c r="B24" s="235"/>
      <c r="C24" s="40"/>
      <c r="D24" s="34"/>
      <c r="E24" s="34"/>
      <c r="F24" s="36"/>
      <c r="G24" s="236"/>
      <c r="H24" s="58"/>
      <c r="I24" s="58"/>
      <c r="J24" s="67"/>
      <c r="K24" s="231"/>
      <c r="L24" s="58"/>
    </row>
    <row r="25" spans="2:16" x14ac:dyDescent="0.25">
      <c r="B25" s="235"/>
      <c r="C25" s="38">
        <v>5</v>
      </c>
      <c r="D25" s="316" t="s">
        <v>11</v>
      </c>
      <c r="E25" s="34"/>
      <c r="F25" s="412"/>
      <c r="G25" s="236"/>
      <c r="H25" s="58"/>
      <c r="I25" s="58"/>
      <c r="J25" s="67"/>
      <c r="K25" s="230"/>
      <c r="L25" s="58"/>
    </row>
    <row r="26" spans="2:16" x14ac:dyDescent="0.25">
      <c r="B26" s="235"/>
      <c r="C26" s="40"/>
      <c r="D26" s="34"/>
      <c r="E26" s="34"/>
      <c r="F26" s="36"/>
      <c r="G26" s="236"/>
      <c r="H26" s="58"/>
      <c r="I26" s="58"/>
      <c r="J26" s="67"/>
      <c r="K26" s="230"/>
      <c r="L26" s="58"/>
    </row>
    <row r="27" spans="2:16" x14ac:dyDescent="0.25">
      <c r="B27" s="235"/>
      <c r="C27" s="60">
        <v>6</v>
      </c>
      <c r="D27" s="331" t="s">
        <v>272</v>
      </c>
      <c r="E27" s="413" t="s">
        <v>33</v>
      </c>
      <c r="F27" s="36"/>
      <c r="G27" s="236"/>
      <c r="H27" s="58"/>
      <c r="I27" s="58"/>
      <c r="J27" s="67"/>
      <c r="K27" s="230"/>
      <c r="L27" s="58"/>
    </row>
    <row r="28" spans="2:16" x14ac:dyDescent="0.25">
      <c r="B28" s="235"/>
      <c r="C28" s="40"/>
      <c r="D28" s="331" t="s">
        <v>273</v>
      </c>
      <c r="E28" s="413" t="s">
        <v>33</v>
      </c>
      <c r="F28" s="36"/>
      <c r="G28" s="236"/>
      <c r="H28" s="58"/>
      <c r="I28" s="58"/>
      <c r="J28" s="67"/>
      <c r="K28" s="230"/>
      <c r="L28" s="58"/>
    </row>
    <row r="29" spans="2:16" x14ac:dyDescent="0.25">
      <c r="B29" s="235"/>
      <c r="C29" s="40"/>
      <c r="D29" s="331" t="s">
        <v>274</v>
      </c>
      <c r="E29" s="413" t="s">
        <v>33</v>
      </c>
      <c r="F29" s="36"/>
      <c r="G29" s="236"/>
      <c r="H29" s="58"/>
      <c r="I29" s="58"/>
      <c r="J29" s="67"/>
      <c r="K29" s="230"/>
      <c r="L29" s="58"/>
    </row>
    <row r="30" spans="2:16" x14ac:dyDescent="0.25">
      <c r="B30" s="235"/>
      <c r="C30" s="40"/>
      <c r="D30" s="331" t="s">
        <v>275</v>
      </c>
      <c r="E30" s="413" t="s">
        <v>33</v>
      </c>
      <c r="F30" s="36"/>
      <c r="G30" s="236"/>
      <c r="H30" s="58"/>
      <c r="I30" s="58"/>
      <c r="J30" s="67"/>
      <c r="K30" s="230"/>
      <c r="L30" s="58"/>
    </row>
    <row r="31" spans="2:16" x14ac:dyDescent="0.25">
      <c r="B31" s="235"/>
      <c r="C31" s="40"/>
      <c r="D31" s="34"/>
      <c r="E31" s="34"/>
      <c r="F31" s="36"/>
      <c r="G31" s="236"/>
      <c r="H31" s="58"/>
      <c r="I31" s="58"/>
      <c r="J31" s="67"/>
      <c r="K31" s="230"/>
      <c r="L31" s="58"/>
    </row>
    <row r="32" spans="2:16" x14ac:dyDescent="0.25">
      <c r="B32" s="235"/>
      <c r="C32" s="318">
        <v>7</v>
      </c>
      <c r="D32" s="316" t="s">
        <v>8</v>
      </c>
      <c r="E32" s="34"/>
      <c r="F32" s="36"/>
      <c r="G32" s="236"/>
      <c r="H32" s="58"/>
      <c r="I32" s="58"/>
      <c r="J32" s="67"/>
      <c r="K32" s="230"/>
      <c r="L32" s="58"/>
    </row>
    <row r="33" spans="2:12" x14ac:dyDescent="0.25">
      <c r="B33" s="235"/>
      <c r="C33" s="319" t="s">
        <v>3</v>
      </c>
      <c r="D33" s="1" t="s">
        <v>245</v>
      </c>
      <c r="E33" s="34"/>
      <c r="F33" s="412"/>
      <c r="G33" s="236"/>
      <c r="H33" s="58"/>
      <c r="I33" s="58"/>
      <c r="J33" s="67"/>
      <c r="K33" s="230"/>
      <c r="L33" s="58"/>
    </row>
    <row r="34" spans="2:12" x14ac:dyDescent="0.25">
      <c r="B34" s="235"/>
      <c r="C34" s="320" t="s">
        <v>4</v>
      </c>
      <c r="D34" s="1" t="s">
        <v>50</v>
      </c>
      <c r="E34" s="34"/>
      <c r="F34" s="412"/>
      <c r="G34" s="236"/>
      <c r="H34" s="58"/>
      <c r="I34" s="58"/>
      <c r="J34" s="67"/>
      <c r="K34" s="230"/>
      <c r="L34" s="58"/>
    </row>
    <row r="35" spans="2:12" ht="60" x14ac:dyDescent="0.25">
      <c r="B35" s="235"/>
      <c r="C35" s="319" t="s">
        <v>5</v>
      </c>
      <c r="D35" s="321" t="s">
        <v>225</v>
      </c>
      <c r="E35" s="414" t="s">
        <v>33</v>
      </c>
      <c r="F35" s="36"/>
      <c r="G35" s="236"/>
      <c r="H35" s="58"/>
      <c r="I35" s="58"/>
      <c r="J35" s="67"/>
      <c r="K35" s="230"/>
      <c r="L35" s="2"/>
    </row>
    <row r="36" spans="2:12" s="31" customFormat="1" ht="30" x14ac:dyDescent="0.25">
      <c r="B36" s="239"/>
      <c r="C36" s="40"/>
      <c r="D36" s="321" t="s">
        <v>219</v>
      </c>
      <c r="E36" s="46"/>
      <c r="F36" s="415"/>
      <c r="G36" s="393" t="s">
        <v>255</v>
      </c>
      <c r="H36" s="58"/>
      <c r="I36" s="58"/>
      <c r="J36" s="67"/>
      <c r="K36" s="230"/>
      <c r="L36" s="6"/>
    </row>
    <row r="37" spans="2:12" ht="30" x14ac:dyDescent="0.25">
      <c r="B37" s="235"/>
      <c r="C37" s="40"/>
      <c r="D37" s="321" t="s">
        <v>220</v>
      </c>
      <c r="E37" s="39"/>
      <c r="F37" s="412"/>
      <c r="G37" s="394"/>
      <c r="H37" s="58"/>
      <c r="I37" s="58"/>
      <c r="J37" s="67"/>
      <c r="K37" s="230"/>
    </row>
    <row r="38" spans="2:12" ht="30" x14ac:dyDescent="0.25">
      <c r="B38" s="235"/>
      <c r="C38" s="40"/>
      <c r="D38" s="321" t="s">
        <v>260</v>
      </c>
      <c r="E38" s="39"/>
      <c r="F38" s="412"/>
      <c r="G38" s="395"/>
      <c r="H38" s="58"/>
      <c r="I38" s="58"/>
      <c r="J38" s="67"/>
      <c r="K38" s="230"/>
    </row>
    <row r="39" spans="2:12" ht="30" x14ac:dyDescent="0.25">
      <c r="B39" s="235"/>
      <c r="C39" s="319" t="s">
        <v>6</v>
      </c>
      <c r="D39" s="321" t="s">
        <v>218</v>
      </c>
      <c r="E39" s="34"/>
      <c r="F39" s="412"/>
      <c r="G39" s="350" t="s">
        <v>251</v>
      </c>
      <c r="H39" s="58"/>
      <c r="I39" s="124"/>
      <c r="J39" s="232"/>
      <c r="K39" s="230"/>
    </row>
    <row r="40" spans="2:12" x14ac:dyDescent="0.25">
      <c r="B40" s="235"/>
      <c r="C40" s="319" t="s">
        <v>7</v>
      </c>
      <c r="D40" s="223" t="s">
        <v>84</v>
      </c>
      <c r="E40" s="34"/>
      <c r="F40" s="412"/>
      <c r="G40" s="236"/>
      <c r="H40" s="124"/>
      <c r="I40" s="58"/>
      <c r="J40" s="67"/>
      <c r="K40" s="230"/>
    </row>
    <row r="41" spans="2:12" x14ac:dyDescent="0.25">
      <c r="B41" s="235"/>
      <c r="C41" s="319" t="s">
        <v>9</v>
      </c>
      <c r="D41" s="223" t="s">
        <v>85</v>
      </c>
      <c r="E41" s="34"/>
      <c r="F41" s="412"/>
      <c r="G41" s="236"/>
      <c r="H41" s="58"/>
      <c r="I41" s="58"/>
      <c r="J41" s="67"/>
      <c r="K41" s="230"/>
    </row>
    <row r="42" spans="2:12" ht="30" x14ac:dyDescent="0.25">
      <c r="B42" s="235"/>
      <c r="C42" s="319" t="s">
        <v>2</v>
      </c>
      <c r="D42" s="321" t="s">
        <v>205</v>
      </c>
      <c r="E42" s="34"/>
      <c r="F42" s="412"/>
      <c r="G42" s="236"/>
      <c r="H42" s="58"/>
      <c r="I42" s="124"/>
      <c r="J42" s="67"/>
      <c r="K42" s="230"/>
    </row>
    <row r="43" spans="2:12" ht="30" x14ac:dyDescent="0.25">
      <c r="B43" s="235"/>
      <c r="C43" s="319" t="s">
        <v>10</v>
      </c>
      <c r="D43" s="321" t="s">
        <v>201</v>
      </c>
      <c r="E43" s="34"/>
      <c r="F43" s="412"/>
      <c r="G43" s="236"/>
      <c r="H43" s="124"/>
      <c r="I43" s="58"/>
      <c r="J43" s="67"/>
      <c r="K43" s="230"/>
    </row>
    <row r="44" spans="2:12" ht="45" x14ac:dyDescent="0.25">
      <c r="B44" s="235"/>
      <c r="C44" s="319" t="s">
        <v>167</v>
      </c>
      <c r="D44" s="321" t="s">
        <v>202</v>
      </c>
      <c r="E44" s="34"/>
      <c r="F44" s="412"/>
      <c r="G44" s="236"/>
      <c r="H44" s="124"/>
      <c r="I44" s="58"/>
      <c r="J44" s="67"/>
      <c r="K44" s="230"/>
    </row>
    <row r="45" spans="2:12" x14ac:dyDescent="0.25">
      <c r="B45" s="235"/>
      <c r="C45" s="40"/>
      <c r="D45" s="34"/>
      <c r="E45" s="34"/>
      <c r="F45" s="36"/>
      <c r="G45" s="236"/>
      <c r="H45" s="58"/>
      <c r="I45" s="58"/>
      <c r="J45" s="67"/>
      <c r="K45" s="230"/>
    </row>
    <row r="46" spans="2:12" x14ac:dyDescent="0.25">
      <c r="B46" s="235"/>
      <c r="C46" s="318">
        <v>8</v>
      </c>
      <c r="D46" s="322" t="s">
        <v>12</v>
      </c>
      <c r="E46" s="34"/>
      <c r="F46" s="412"/>
      <c r="G46" s="236"/>
      <c r="H46" s="58"/>
      <c r="I46" s="58"/>
      <c r="J46" s="67"/>
      <c r="K46" s="230"/>
    </row>
    <row r="47" spans="2:12" ht="30" x14ac:dyDescent="0.25">
      <c r="B47" s="235"/>
      <c r="C47" s="40"/>
      <c r="D47" s="321" t="s">
        <v>203</v>
      </c>
      <c r="E47" s="414" t="s">
        <v>33</v>
      </c>
      <c r="F47" s="35"/>
      <c r="G47" s="236"/>
      <c r="H47" s="124"/>
      <c r="I47" s="124"/>
      <c r="J47" s="232"/>
      <c r="K47" s="230"/>
    </row>
    <row r="48" spans="2:12" x14ac:dyDescent="0.25">
      <c r="B48" s="235"/>
      <c r="C48" s="40"/>
      <c r="D48" s="34"/>
      <c r="E48" s="34"/>
      <c r="F48" s="36"/>
      <c r="G48" s="236"/>
      <c r="H48" s="124"/>
      <c r="I48" s="124"/>
      <c r="J48" s="232"/>
      <c r="K48" s="230"/>
    </row>
    <row r="49" spans="2:11" ht="30" x14ac:dyDescent="0.25">
      <c r="B49" s="235"/>
      <c r="C49" s="318">
        <v>9</v>
      </c>
      <c r="D49" s="323" t="s">
        <v>56</v>
      </c>
      <c r="E49" s="45"/>
      <c r="F49" s="410"/>
      <c r="G49" s="236"/>
      <c r="H49" s="124"/>
      <c r="I49" s="124"/>
      <c r="J49" s="232"/>
      <c r="K49" s="230"/>
    </row>
    <row r="50" spans="2:11" ht="45" x14ac:dyDescent="0.25">
      <c r="B50" s="235"/>
      <c r="C50" s="40"/>
      <c r="D50" s="223" t="s">
        <v>216</v>
      </c>
      <c r="E50" s="414" t="s">
        <v>33</v>
      </c>
      <c r="F50" s="35"/>
      <c r="G50" s="236"/>
      <c r="H50" s="124"/>
      <c r="I50" s="124"/>
      <c r="J50" s="232"/>
      <c r="K50" s="230"/>
    </row>
    <row r="51" spans="2:11" x14ac:dyDescent="0.25">
      <c r="B51" s="235"/>
      <c r="C51" s="40"/>
      <c r="D51" s="37"/>
      <c r="E51" s="45"/>
      <c r="F51" s="35"/>
      <c r="G51" s="236"/>
      <c r="H51" s="124"/>
      <c r="I51" s="124"/>
      <c r="J51" s="232"/>
      <c r="K51" s="230"/>
    </row>
    <row r="52" spans="2:11" ht="60" x14ac:dyDescent="0.25">
      <c r="B52" s="235"/>
      <c r="C52" s="60">
        <v>10</v>
      </c>
      <c r="D52" s="324" t="s">
        <v>252</v>
      </c>
      <c r="E52" s="45"/>
      <c r="F52" s="416"/>
      <c r="G52" s="236"/>
      <c r="H52" s="233"/>
      <c r="I52" s="233"/>
      <c r="J52" s="234"/>
      <c r="K52" s="230"/>
    </row>
    <row r="53" spans="2:11" x14ac:dyDescent="0.25">
      <c r="B53" s="235"/>
      <c r="C53" s="40"/>
      <c r="D53" s="34"/>
      <c r="E53" s="34"/>
      <c r="F53" s="36"/>
      <c r="G53" s="236"/>
      <c r="H53" s="31"/>
      <c r="I53" s="31"/>
      <c r="J53" s="188"/>
    </row>
    <row r="54" spans="2:11" ht="30" x14ac:dyDescent="0.25">
      <c r="B54" s="235"/>
      <c r="C54" s="38">
        <v>11</v>
      </c>
      <c r="D54" s="323" t="s">
        <v>206</v>
      </c>
      <c r="E54" s="45"/>
      <c r="F54" s="417"/>
      <c r="G54" s="236"/>
      <c r="H54" s="31"/>
      <c r="I54" s="31"/>
      <c r="J54" s="188"/>
    </row>
    <row r="55" spans="2:11" x14ac:dyDescent="0.25">
      <c r="B55" s="235"/>
      <c r="C55" s="40"/>
      <c r="D55" s="37"/>
      <c r="E55" s="34"/>
      <c r="F55" s="36"/>
      <c r="G55" s="236"/>
      <c r="H55" s="31"/>
      <c r="I55" s="31"/>
      <c r="J55" s="188"/>
    </row>
    <row r="56" spans="2:11" ht="25.5" x14ac:dyDescent="0.25">
      <c r="B56" s="235"/>
      <c r="C56" s="318">
        <v>12</v>
      </c>
      <c r="D56" s="341" t="s">
        <v>108</v>
      </c>
      <c r="E56" s="342"/>
      <c r="F56" s="343"/>
      <c r="G56" s="346" t="s">
        <v>251</v>
      </c>
    </row>
    <row r="57" spans="2:11" ht="30" x14ac:dyDescent="0.25">
      <c r="B57" s="235"/>
      <c r="C57" s="319" t="s">
        <v>3</v>
      </c>
      <c r="D57" s="223" t="s">
        <v>204</v>
      </c>
      <c r="E57" s="414" t="s">
        <v>33</v>
      </c>
      <c r="F57" s="35"/>
      <c r="G57" s="236"/>
    </row>
    <row r="58" spans="2:11" x14ac:dyDescent="0.25">
      <c r="B58" s="235"/>
      <c r="C58" s="319" t="s">
        <v>14</v>
      </c>
      <c r="D58" s="311" t="s">
        <v>199</v>
      </c>
      <c r="E58" s="414" t="s">
        <v>33</v>
      </c>
      <c r="F58" s="35"/>
      <c r="G58" s="236"/>
    </row>
    <row r="59" spans="2:11" ht="30" x14ac:dyDescent="0.25">
      <c r="B59" s="235"/>
      <c r="C59" s="319" t="s">
        <v>15</v>
      </c>
      <c r="D59" s="313" t="s">
        <v>226</v>
      </c>
      <c r="E59" s="45"/>
      <c r="F59" s="418"/>
      <c r="G59" s="347" t="s">
        <v>251</v>
      </c>
    </row>
    <row r="60" spans="2:11" ht="30" x14ac:dyDescent="0.25">
      <c r="B60" s="235"/>
      <c r="C60" s="319" t="s">
        <v>74</v>
      </c>
      <c r="D60" s="314" t="s">
        <v>200</v>
      </c>
      <c r="E60" s="45"/>
      <c r="F60" s="419"/>
      <c r="G60" s="347" t="s">
        <v>251</v>
      </c>
    </row>
    <row r="61" spans="2:11" ht="30" x14ac:dyDescent="0.25">
      <c r="B61" s="235"/>
      <c r="C61" s="319" t="s">
        <v>110</v>
      </c>
      <c r="D61" s="326" t="s">
        <v>104</v>
      </c>
      <c r="E61" s="34"/>
      <c r="F61" s="412"/>
      <c r="G61" s="236"/>
    </row>
    <row r="62" spans="2:11" ht="30" x14ac:dyDescent="0.25">
      <c r="B62" s="235"/>
      <c r="C62" s="319" t="s">
        <v>103</v>
      </c>
      <c r="D62" s="321" t="s">
        <v>244</v>
      </c>
      <c r="E62" s="34"/>
      <c r="F62" s="373"/>
      <c r="G62" s="236"/>
    </row>
    <row r="63" spans="2:11" x14ac:dyDescent="0.25">
      <c r="B63" s="235"/>
      <c r="C63" s="40"/>
      <c r="D63" s="327" t="s">
        <v>105</v>
      </c>
      <c r="E63" s="34"/>
      <c r="F63" s="412"/>
      <c r="G63" s="236"/>
    </row>
    <row r="64" spans="2:11" x14ac:dyDescent="0.25">
      <c r="B64" s="235"/>
      <c r="C64" s="40"/>
      <c r="D64" s="327" t="s">
        <v>106</v>
      </c>
      <c r="E64" s="70"/>
      <c r="F64" s="417"/>
      <c r="G64" s="236"/>
    </row>
    <row r="65" spans="2:11" x14ac:dyDescent="0.25">
      <c r="B65" s="235"/>
      <c r="C65" s="40"/>
      <c r="D65" s="327" t="s">
        <v>107</v>
      </c>
      <c r="E65" s="70"/>
      <c r="F65" s="417"/>
      <c r="G65" s="236"/>
    </row>
    <row r="66" spans="2:11" ht="45" x14ac:dyDescent="0.25">
      <c r="B66" s="235"/>
      <c r="C66" s="325" t="s">
        <v>246</v>
      </c>
      <c r="D66" s="326" t="s">
        <v>254</v>
      </c>
      <c r="E66" s="45"/>
      <c r="F66" s="36"/>
      <c r="G66" s="236"/>
    </row>
    <row r="67" spans="2:11" ht="30" x14ac:dyDescent="0.25">
      <c r="B67" s="235"/>
      <c r="C67" s="40"/>
      <c r="D67" s="313" t="s">
        <v>231</v>
      </c>
      <c r="E67" s="45"/>
      <c r="F67" s="420"/>
      <c r="G67" s="396" t="s">
        <v>251</v>
      </c>
    </row>
    <row r="68" spans="2:11" ht="30" x14ac:dyDescent="0.25">
      <c r="B68" s="235"/>
      <c r="C68" s="40"/>
      <c r="D68" s="313" t="s">
        <v>232</v>
      </c>
      <c r="E68" s="45"/>
      <c r="F68" s="420"/>
      <c r="G68" s="397"/>
    </row>
    <row r="69" spans="2:11" ht="30" x14ac:dyDescent="0.25">
      <c r="B69" s="235"/>
      <c r="C69" s="40"/>
      <c r="D69" s="312" t="s">
        <v>233</v>
      </c>
      <c r="E69" s="45"/>
      <c r="F69" s="421"/>
      <c r="G69" s="398"/>
    </row>
    <row r="70" spans="2:11" x14ac:dyDescent="0.25">
      <c r="B70" s="235"/>
      <c r="C70" s="40"/>
      <c r="D70" s="68" t="s">
        <v>242</v>
      </c>
      <c r="E70" s="70"/>
      <c r="F70" s="422"/>
      <c r="G70" s="396" t="s">
        <v>251</v>
      </c>
      <c r="K70" s="72"/>
    </row>
    <row r="71" spans="2:11" ht="30" x14ac:dyDescent="0.25">
      <c r="B71" s="235"/>
      <c r="C71" s="40"/>
      <c r="D71" s="314" t="s">
        <v>230</v>
      </c>
      <c r="E71" s="182"/>
      <c r="F71" s="423"/>
      <c r="G71" s="397"/>
    </row>
    <row r="72" spans="2:11" x14ac:dyDescent="0.25">
      <c r="B72" s="235"/>
      <c r="C72" s="40"/>
      <c r="D72" s="68" t="s">
        <v>250</v>
      </c>
      <c r="E72" s="70"/>
      <c r="F72" s="424"/>
      <c r="G72" s="398"/>
    </row>
    <row r="73" spans="2:11" x14ac:dyDescent="0.25">
      <c r="B73" s="235"/>
      <c r="C73" s="40"/>
      <c r="D73" s="34"/>
      <c r="E73" s="57"/>
      <c r="F73" s="36"/>
      <c r="G73" s="236"/>
    </row>
    <row r="74" spans="2:11" x14ac:dyDescent="0.25">
      <c r="B74" s="235"/>
      <c r="C74" s="38">
        <v>13</v>
      </c>
      <c r="D74" s="328" t="s">
        <v>111</v>
      </c>
      <c r="E74" s="414" t="s">
        <v>33</v>
      </c>
      <c r="F74" s="36"/>
      <c r="G74" s="236"/>
    </row>
    <row r="75" spans="2:11" x14ac:dyDescent="0.25">
      <c r="B75" s="235"/>
      <c r="C75" s="71" t="s">
        <v>109</v>
      </c>
      <c r="D75" s="329" t="s">
        <v>13</v>
      </c>
      <c r="E75" s="34"/>
      <c r="F75" s="412"/>
      <c r="G75" s="393" t="s">
        <v>276</v>
      </c>
    </row>
    <row r="76" spans="2:11" x14ac:dyDescent="0.25">
      <c r="B76" s="235"/>
      <c r="C76" s="59" t="s">
        <v>14</v>
      </c>
      <c r="D76" s="1" t="s">
        <v>287</v>
      </c>
      <c r="E76" s="34"/>
      <c r="F76" s="412"/>
      <c r="G76" s="394"/>
    </row>
    <row r="77" spans="2:11" x14ac:dyDescent="0.25">
      <c r="B77" s="235"/>
      <c r="C77" s="59" t="s">
        <v>15</v>
      </c>
      <c r="D77" s="1" t="s">
        <v>65</v>
      </c>
      <c r="E77" s="34"/>
      <c r="F77" s="412"/>
      <c r="G77" s="394"/>
    </row>
    <row r="78" spans="2:11" x14ac:dyDescent="0.25">
      <c r="B78" s="235"/>
      <c r="C78" s="59" t="s">
        <v>74</v>
      </c>
      <c r="D78" s="1" t="s">
        <v>207</v>
      </c>
      <c r="E78" s="34"/>
      <c r="F78" s="412"/>
      <c r="G78" s="394"/>
    </row>
    <row r="79" spans="2:11" x14ac:dyDescent="0.25">
      <c r="B79" s="235"/>
      <c r="C79" s="59" t="s">
        <v>110</v>
      </c>
      <c r="D79" s="1" t="s">
        <v>67</v>
      </c>
      <c r="E79" s="34"/>
      <c r="F79" s="412"/>
      <c r="G79" s="394"/>
    </row>
    <row r="80" spans="2:11" x14ac:dyDescent="0.25">
      <c r="B80" s="235"/>
      <c r="C80" s="59" t="s">
        <v>103</v>
      </c>
      <c r="D80" s="1" t="s">
        <v>66</v>
      </c>
      <c r="E80" s="34"/>
      <c r="F80" s="412"/>
      <c r="G80" s="394"/>
    </row>
    <row r="81" spans="2:7" x14ac:dyDescent="0.25">
      <c r="B81" s="235"/>
      <c r="C81" s="59" t="s">
        <v>246</v>
      </c>
      <c r="D81" s="1" t="s">
        <v>68</v>
      </c>
      <c r="E81" s="34"/>
      <c r="F81" s="412"/>
      <c r="G81" s="395"/>
    </row>
    <row r="82" spans="2:7" x14ac:dyDescent="0.25">
      <c r="B82" s="235"/>
      <c r="C82" s="40"/>
      <c r="D82" s="34"/>
      <c r="E82" s="34"/>
      <c r="F82" s="36"/>
      <c r="G82" s="236"/>
    </row>
    <row r="83" spans="2:7" x14ac:dyDescent="0.25">
      <c r="B83" s="235"/>
      <c r="C83" s="60">
        <v>14</v>
      </c>
      <c r="D83" s="330" t="s">
        <v>256</v>
      </c>
      <c r="E83" s="414" t="s">
        <v>33</v>
      </c>
      <c r="F83" s="36"/>
      <c r="G83" s="399" t="s">
        <v>277</v>
      </c>
    </row>
    <row r="84" spans="2:7" ht="15" customHeight="1" x14ac:dyDescent="0.25">
      <c r="B84" s="235"/>
      <c r="C84" s="59" t="s">
        <v>109</v>
      </c>
      <c r="D84" s="331" t="s">
        <v>215</v>
      </c>
      <c r="E84" s="34"/>
      <c r="F84" s="425"/>
      <c r="G84" s="400"/>
    </row>
    <row r="85" spans="2:7" x14ac:dyDescent="0.25">
      <c r="B85" s="235"/>
      <c r="C85" s="59" t="s">
        <v>14</v>
      </c>
      <c r="D85" s="331" t="s">
        <v>91</v>
      </c>
      <c r="E85" s="34"/>
      <c r="F85" s="426"/>
      <c r="G85" s="401"/>
    </row>
    <row r="86" spans="2:7" x14ac:dyDescent="0.25">
      <c r="B86" s="235"/>
      <c r="C86" s="40"/>
      <c r="D86" s="34"/>
      <c r="E86" s="34"/>
      <c r="F86" s="36"/>
      <c r="G86" s="236"/>
    </row>
    <row r="87" spans="2:7" x14ac:dyDescent="0.25">
      <c r="B87" s="235"/>
      <c r="C87" s="38">
        <v>15</v>
      </c>
      <c r="D87" s="316" t="s">
        <v>76</v>
      </c>
      <c r="E87" s="34"/>
      <c r="F87" s="412"/>
      <c r="G87" s="236"/>
    </row>
    <row r="88" spans="2:7" x14ac:dyDescent="0.25">
      <c r="B88" s="235"/>
      <c r="C88" s="40"/>
      <c r="D88" s="34"/>
      <c r="E88" s="34"/>
      <c r="F88" s="36"/>
      <c r="G88" s="236"/>
    </row>
    <row r="89" spans="2:7" x14ac:dyDescent="0.25">
      <c r="B89" s="235"/>
      <c r="C89" s="38">
        <v>16</v>
      </c>
      <c r="D89" s="316" t="s">
        <v>77</v>
      </c>
      <c r="E89" s="34"/>
      <c r="F89" s="412"/>
      <c r="G89" s="391" t="s">
        <v>284</v>
      </c>
    </row>
    <row r="90" spans="2:7" x14ac:dyDescent="0.25">
      <c r="B90" s="235"/>
      <c r="C90" s="40"/>
      <c r="D90" s="34"/>
      <c r="E90" s="34"/>
      <c r="F90" s="36"/>
      <c r="G90" s="236"/>
    </row>
    <row r="91" spans="2:7" x14ac:dyDescent="0.25">
      <c r="B91" s="235"/>
      <c r="C91" s="38">
        <v>17</v>
      </c>
      <c r="D91" s="316" t="s">
        <v>78</v>
      </c>
      <c r="E91" s="34"/>
      <c r="F91" s="412"/>
      <c r="G91" s="236"/>
    </row>
    <row r="92" spans="2:7" x14ac:dyDescent="0.25">
      <c r="B92" s="235"/>
      <c r="C92" s="56"/>
      <c r="D92" s="238"/>
      <c r="E92" s="34"/>
      <c r="F92" s="36"/>
      <c r="G92" s="236"/>
    </row>
    <row r="93" spans="2:7" x14ac:dyDescent="0.25">
      <c r="B93" s="235"/>
      <c r="C93" s="38">
        <v>18</v>
      </c>
      <c r="D93" s="316" t="s">
        <v>79</v>
      </c>
      <c r="E93" s="34"/>
      <c r="F93" s="412"/>
      <c r="G93" s="236"/>
    </row>
    <row r="94" spans="2:7" x14ac:dyDescent="0.25">
      <c r="B94" s="235"/>
      <c r="C94" s="40"/>
      <c r="D94" s="34"/>
      <c r="E94" s="34"/>
      <c r="F94" s="36"/>
      <c r="G94" s="236"/>
    </row>
    <row r="95" spans="2:7" x14ac:dyDescent="0.25">
      <c r="B95" s="235"/>
      <c r="C95" s="38">
        <v>19</v>
      </c>
      <c r="D95" s="316" t="s">
        <v>80</v>
      </c>
      <c r="E95" s="34"/>
      <c r="F95" s="412"/>
      <c r="G95" s="236"/>
    </row>
    <row r="96" spans="2:7" x14ac:dyDescent="0.25">
      <c r="B96" s="235"/>
      <c r="C96" s="56"/>
      <c r="D96" s="238"/>
      <c r="E96" s="34"/>
      <c r="F96" s="36"/>
      <c r="G96" s="236"/>
    </row>
    <row r="97" spans="2:12" x14ac:dyDescent="0.25">
      <c r="B97" s="235"/>
      <c r="C97" s="38">
        <v>20</v>
      </c>
      <c r="D97" s="316" t="s">
        <v>174</v>
      </c>
      <c r="E97" s="34"/>
      <c r="F97" s="412"/>
      <c r="G97" s="236"/>
    </row>
    <row r="98" spans="2:12" x14ac:dyDescent="0.25">
      <c r="B98" s="235"/>
      <c r="C98" s="40"/>
      <c r="D98" s="34"/>
      <c r="E98" s="34"/>
      <c r="F98" s="36"/>
      <c r="G98" s="236"/>
    </row>
    <row r="99" spans="2:12" x14ac:dyDescent="0.25">
      <c r="B99" s="235"/>
      <c r="C99" s="38">
        <v>21</v>
      </c>
      <c r="D99" s="316" t="s">
        <v>81</v>
      </c>
      <c r="E99" s="34"/>
      <c r="F99" s="412"/>
      <c r="G99" s="236"/>
    </row>
    <row r="100" spans="2:12" x14ac:dyDescent="0.25">
      <c r="B100" s="235"/>
      <c r="C100" s="40"/>
      <c r="D100" s="34"/>
      <c r="E100" s="34"/>
      <c r="F100" s="36"/>
      <c r="G100" s="236"/>
    </row>
    <row r="101" spans="2:12" x14ac:dyDescent="0.25">
      <c r="B101" s="235"/>
      <c r="C101" s="38">
        <v>22</v>
      </c>
      <c r="D101" s="316" t="s">
        <v>82</v>
      </c>
      <c r="E101" s="34"/>
      <c r="F101" s="412"/>
      <c r="G101" s="236"/>
    </row>
    <row r="102" spans="2:12" x14ac:dyDescent="0.25">
      <c r="B102" s="235"/>
      <c r="C102" s="40"/>
      <c r="D102" s="34"/>
      <c r="E102" s="34"/>
      <c r="F102" s="36"/>
      <c r="G102" s="236"/>
      <c r="I102" s="13"/>
    </row>
    <row r="103" spans="2:12" x14ac:dyDescent="0.25">
      <c r="B103" s="235"/>
      <c r="C103" s="60">
        <v>23</v>
      </c>
      <c r="D103" s="330" t="s">
        <v>178</v>
      </c>
      <c r="E103" s="238"/>
      <c r="F103" s="390">
        <f>'Report of Adjustments'!E39</f>
        <v>0</v>
      </c>
      <c r="G103" s="236"/>
    </row>
    <row r="104" spans="2:12" x14ac:dyDescent="0.25">
      <c r="B104" s="235"/>
      <c r="C104" s="60">
        <v>24</v>
      </c>
      <c r="D104" s="330" t="str">
        <f>IF(F101&gt;F103,"Your Tax Savings under the 2017 Tax Cuts and Jobs Act","Your Additional Tax Under the 2017 Tax Cuts and Jobs Act")</f>
        <v>Your Additional Tax Under the 2017 Tax Cuts and Jobs Act</v>
      </c>
      <c r="E104" s="238"/>
      <c r="F104" s="390">
        <f>IF(F101&gt;F103,(F101-F103),(F103-F101))</f>
        <v>0</v>
      </c>
      <c r="G104" s="236"/>
    </row>
    <row r="105" spans="2:12" ht="15.75" thickBot="1" x14ac:dyDescent="0.3">
      <c r="B105" s="241"/>
      <c r="C105" s="242"/>
      <c r="D105" s="243"/>
      <c r="E105" s="243"/>
      <c r="F105" s="244"/>
      <c r="G105" s="245"/>
    </row>
    <row r="106" spans="2:12" x14ac:dyDescent="0.25">
      <c r="D106" s="49"/>
      <c r="E106" s="2"/>
      <c r="F106" s="23"/>
    </row>
    <row r="107" spans="2:12" x14ac:dyDescent="0.25">
      <c r="E107" s="2"/>
      <c r="F107" s="23"/>
    </row>
    <row r="108" spans="2:12" x14ac:dyDescent="0.25">
      <c r="E108" s="2"/>
      <c r="F108" s="23"/>
    </row>
    <row r="109" spans="2:12" x14ac:dyDescent="0.25">
      <c r="H109" s="58"/>
      <c r="I109" s="58"/>
      <c r="J109" s="67"/>
      <c r="K109" s="230"/>
      <c r="L109" s="58"/>
    </row>
    <row r="110" spans="2:12" x14ac:dyDescent="0.25">
      <c r="H110" s="58"/>
      <c r="I110" s="58"/>
      <c r="J110" s="67"/>
      <c r="K110" s="230"/>
      <c r="L110" s="58"/>
    </row>
    <row r="111" spans="2:12" x14ac:dyDescent="0.25">
      <c r="H111" s="58"/>
      <c r="I111" s="58"/>
      <c r="J111" s="67"/>
      <c r="K111" s="230"/>
      <c r="L111" s="58"/>
    </row>
    <row r="112" spans="2:12" x14ac:dyDescent="0.25">
      <c r="H112" s="58"/>
      <c r="I112" s="58"/>
      <c r="J112" s="67"/>
      <c r="K112" s="230"/>
      <c r="L112" s="58"/>
    </row>
    <row r="113" spans="6:12" x14ac:dyDescent="0.25">
      <c r="H113" s="58"/>
      <c r="I113" s="58"/>
      <c r="J113" s="67"/>
      <c r="K113" s="231"/>
      <c r="L113" s="58"/>
    </row>
    <row r="114" spans="6:12" x14ac:dyDescent="0.25">
      <c r="F114" s="54"/>
      <c r="H114" s="58"/>
      <c r="I114" s="58"/>
      <c r="J114" s="67"/>
      <c r="K114" s="230"/>
      <c r="L114" s="58"/>
    </row>
    <row r="115" spans="6:12" x14ac:dyDescent="0.25">
      <c r="H115" s="58"/>
      <c r="I115" s="58"/>
      <c r="J115" s="67"/>
      <c r="K115" s="230"/>
      <c r="L115" s="58"/>
    </row>
    <row r="116" spans="6:12" x14ac:dyDescent="0.25">
      <c r="H116" s="124"/>
      <c r="I116" s="58"/>
      <c r="J116" s="67"/>
      <c r="K116" s="230"/>
      <c r="L116" s="58"/>
    </row>
    <row r="117" spans="6:12" x14ac:dyDescent="0.25">
      <c r="H117" s="58"/>
      <c r="I117" s="58"/>
      <c r="J117" s="67"/>
      <c r="K117" s="231"/>
      <c r="L117" s="58"/>
    </row>
    <row r="118" spans="6:12" x14ac:dyDescent="0.25">
      <c r="H118" s="58"/>
      <c r="I118" s="58"/>
      <c r="J118" s="67"/>
      <c r="K118" s="231"/>
      <c r="L118" s="58"/>
    </row>
    <row r="119" spans="6:12" x14ac:dyDescent="0.25">
      <c r="H119" s="58"/>
      <c r="I119" s="58"/>
      <c r="J119" s="67"/>
      <c r="K119" s="230"/>
      <c r="L119" s="58"/>
    </row>
    <row r="120" spans="6:12" x14ac:dyDescent="0.25">
      <c r="H120" s="58"/>
      <c r="I120" s="58"/>
      <c r="J120" s="67"/>
      <c r="K120" s="230"/>
      <c r="L120" s="58"/>
    </row>
    <row r="121" spans="6:12" x14ac:dyDescent="0.25">
      <c r="H121" s="58"/>
      <c r="I121" s="58"/>
      <c r="J121" s="67"/>
      <c r="K121" s="230"/>
      <c r="L121" s="58"/>
    </row>
    <row r="122" spans="6:12" x14ac:dyDescent="0.25">
      <c r="H122" s="58"/>
      <c r="I122" s="58"/>
      <c r="J122" s="67"/>
      <c r="K122" s="230"/>
      <c r="L122" s="58"/>
    </row>
    <row r="123" spans="6:12" x14ac:dyDescent="0.25">
      <c r="H123" s="58"/>
      <c r="I123" s="58"/>
      <c r="J123" s="67"/>
      <c r="K123" s="230"/>
      <c r="L123" s="58"/>
    </row>
    <row r="124" spans="6:12" x14ac:dyDescent="0.25">
      <c r="H124" s="58"/>
      <c r="I124" s="58"/>
      <c r="J124" s="67"/>
      <c r="K124" s="230"/>
      <c r="L124" s="58"/>
    </row>
    <row r="125" spans="6:12" x14ac:dyDescent="0.25">
      <c r="H125" s="58"/>
      <c r="I125" s="58"/>
      <c r="J125" s="67"/>
      <c r="K125" s="230"/>
      <c r="L125" s="58"/>
    </row>
    <row r="126" spans="6:12" x14ac:dyDescent="0.25">
      <c r="H126" s="58"/>
      <c r="I126" s="58"/>
      <c r="J126" s="67"/>
      <c r="K126" s="230"/>
      <c r="L126" s="58"/>
    </row>
    <row r="127" spans="6:12" x14ac:dyDescent="0.25">
      <c r="H127" s="58"/>
      <c r="I127" s="58"/>
      <c r="J127" s="67"/>
      <c r="K127" s="230"/>
      <c r="L127" s="58"/>
    </row>
    <row r="128" spans="6:12" x14ac:dyDescent="0.25">
      <c r="H128" s="58"/>
      <c r="I128" s="58"/>
      <c r="J128" s="67"/>
      <c r="K128" s="230"/>
      <c r="L128" s="58"/>
    </row>
    <row r="129" spans="8:12" x14ac:dyDescent="0.25">
      <c r="H129" s="58"/>
      <c r="I129" s="58"/>
      <c r="J129" s="67"/>
      <c r="K129" s="230"/>
      <c r="L129" s="58"/>
    </row>
    <row r="130" spans="8:12" x14ac:dyDescent="0.25">
      <c r="H130" s="58"/>
      <c r="I130" s="58"/>
      <c r="J130" s="67"/>
      <c r="K130" s="230"/>
      <c r="L130" s="58"/>
    </row>
    <row r="131" spans="8:12" x14ac:dyDescent="0.25">
      <c r="H131" s="58"/>
      <c r="I131" s="58"/>
      <c r="J131" s="67"/>
      <c r="K131" s="230"/>
      <c r="L131" s="58"/>
    </row>
    <row r="132" spans="8:12" x14ac:dyDescent="0.25">
      <c r="H132" s="58"/>
      <c r="I132" s="58"/>
      <c r="J132" s="67"/>
      <c r="K132" s="230"/>
      <c r="L132" s="58"/>
    </row>
    <row r="133" spans="8:12" x14ac:dyDescent="0.25">
      <c r="H133" s="58"/>
      <c r="I133" s="58"/>
      <c r="J133" s="67"/>
      <c r="K133" s="230"/>
      <c r="L133" s="58"/>
    </row>
  </sheetData>
  <sheetProtection algorithmName="SHA-512" hashValue="k+71QCn604nq0BM+1SdUZXuO6M7xfHy9LEQeqQLQW2PTsDaCPkpbJWvFXOPxrKp4BS1SW9kM85J8hig+j6BM4w==" saltValue="y+Cu9VqG2rHf3+emImIyIQ==" spinCount="100000" sheet="1" objects="1" scenarios="1" selectLockedCells="1"/>
  <mergeCells count="5">
    <mergeCell ref="G36:G38"/>
    <mergeCell ref="G75:G81"/>
    <mergeCell ref="G70:G72"/>
    <mergeCell ref="G67:G69"/>
    <mergeCell ref="G83:G85"/>
  </mergeCells>
  <dataValidations count="4">
    <dataValidation type="list" allowBlank="1" showInputMessage="1" showErrorMessage="1" sqref="E17:E18">
      <formula1>"Not Selected, Married Filing Jointly, Married Filing Separately, Head of Household, Single"</formula1>
    </dataValidation>
    <dataValidation type="list" allowBlank="1" showInputMessage="1" showErrorMessage="1" sqref="E23 E47 E49:E52 E54 E57:E60 E35:E38 E83 E74 K70 E66:E69">
      <formula1>"Not Answered, Yes, No"</formula1>
    </dataValidation>
    <dataValidation type="list" allowBlank="1" showInputMessage="1" showErrorMessage="1" sqref="J49">
      <formula1>"Specified Service Trade or Business, Any trade or business involving the performance of services in the fields of health, law, accounting actuarial science performing arts"</formula1>
    </dataValidation>
    <dataValidation type="list" allowBlank="1" showInputMessage="1" showErrorMessage="1" sqref="E27:E30">
      <formula1>"Not Answered, yes, no"</formula1>
    </dataValidation>
  </dataValidations>
  <pageMargins left="0.7" right="0.7" top="0.75" bottom="0.75" header="0.3" footer="0.3"/>
  <pageSetup scale="57" fitToHeight="0" orientation="portrait" r:id="rId1"/>
  <headerFooter>
    <oddFooter>&amp;L&amp;"Times New Roman,Regular"&amp;9 1863330v.1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heetViews>
  <sheetFormatPr defaultRowHeight="15" x14ac:dyDescent="0.25"/>
  <cols>
    <col min="2" max="2" width="9.28515625" customWidth="1"/>
    <col min="3" max="3" width="34.7109375" customWidth="1"/>
    <col min="4" max="5" width="12.7109375" customWidth="1"/>
  </cols>
  <sheetData>
    <row r="1" spans="1:6" ht="15.75" thickBot="1" x14ac:dyDescent="0.3">
      <c r="F1" s="2"/>
    </row>
    <row r="2" spans="1:6" ht="15.75" thickBot="1" x14ac:dyDescent="0.3">
      <c r="B2" s="194" t="s">
        <v>212</v>
      </c>
      <c r="C2" s="195"/>
      <c r="D2" s="195"/>
      <c r="E2" s="196"/>
      <c r="F2" s="2"/>
    </row>
    <row r="3" spans="1:6" x14ac:dyDescent="0.25">
      <c r="B3" s="197" t="s">
        <v>179</v>
      </c>
      <c r="C3" s="198"/>
      <c r="D3" s="199"/>
      <c r="E3" s="200"/>
      <c r="F3" s="2"/>
    </row>
    <row r="4" spans="1:6" x14ac:dyDescent="0.25">
      <c r="B4" s="63" t="s">
        <v>270</v>
      </c>
      <c r="C4" s="50"/>
      <c r="D4" s="51"/>
      <c r="E4" s="65">
        <f>Interview!F87</f>
        <v>0</v>
      </c>
      <c r="F4" s="2"/>
    </row>
    <row r="5" spans="1:6" x14ac:dyDescent="0.25">
      <c r="B5" s="61"/>
      <c r="C5" s="201" t="s">
        <v>165</v>
      </c>
      <c r="D5" s="53"/>
      <c r="E5" s="62"/>
      <c r="F5" s="2"/>
    </row>
    <row r="6" spans="1:6" x14ac:dyDescent="0.25">
      <c r="B6" s="61"/>
      <c r="C6" s="55" t="s">
        <v>54</v>
      </c>
      <c r="D6" s="53"/>
      <c r="E6" s="62">
        <f>IF(Interview!E47="YES",0,Interview!F46)</f>
        <v>0</v>
      </c>
      <c r="F6" s="2"/>
    </row>
    <row r="7" spans="1:6" x14ac:dyDescent="0.25">
      <c r="B7" s="61"/>
      <c r="C7" s="55" t="s">
        <v>55</v>
      </c>
      <c r="D7" s="53"/>
      <c r="E7" s="62">
        <f>IF(Interview!E50="YES",0,Interview!F49)</f>
        <v>0</v>
      </c>
      <c r="F7" s="2"/>
    </row>
    <row r="8" spans="1:6" x14ac:dyDescent="0.25">
      <c r="B8" s="61"/>
      <c r="C8" s="169" t="s">
        <v>57</v>
      </c>
      <c r="D8" s="53"/>
      <c r="E8" s="62">
        <f>Interview!F54</f>
        <v>0</v>
      </c>
      <c r="F8" s="2"/>
    </row>
    <row r="9" spans="1:6" x14ac:dyDescent="0.25">
      <c r="B9" s="202" t="s">
        <v>271</v>
      </c>
      <c r="C9" s="171"/>
      <c r="D9" s="172"/>
      <c r="E9" s="203">
        <f>SUM(E6:E8)</f>
        <v>0</v>
      </c>
      <c r="F9" s="2"/>
    </row>
    <row r="10" spans="1:6" x14ac:dyDescent="0.25">
      <c r="A10" s="13"/>
      <c r="B10" s="335" t="s">
        <v>253</v>
      </c>
      <c r="C10" s="336"/>
      <c r="D10" s="337"/>
      <c r="E10" s="338">
        <f>Interview!F21</f>
        <v>0</v>
      </c>
      <c r="F10" s="2"/>
    </row>
    <row r="11" spans="1:6" x14ac:dyDescent="0.25">
      <c r="B11" s="204"/>
      <c r="C11" s="205"/>
      <c r="D11" s="206"/>
      <c r="E11" s="207"/>
      <c r="F11" s="2"/>
    </row>
    <row r="12" spans="1:6" x14ac:dyDescent="0.25">
      <c r="B12" s="208" t="s">
        <v>180</v>
      </c>
      <c r="C12" s="209"/>
      <c r="D12" s="210"/>
      <c r="E12" s="211"/>
      <c r="F12" s="2"/>
    </row>
    <row r="13" spans="1:6" x14ac:dyDescent="0.25">
      <c r="B13" s="166" t="s">
        <v>181</v>
      </c>
      <c r="C13" s="167"/>
      <c r="D13" s="168"/>
      <c r="E13" s="179" t="str">
        <f>IF(Interview!E23="yes",-Interview!F25,"N/A")</f>
        <v>N/A</v>
      </c>
      <c r="F13" s="2"/>
    </row>
    <row r="14" spans="1:6" x14ac:dyDescent="0.25">
      <c r="B14" s="180" t="s">
        <v>46</v>
      </c>
      <c r="C14" s="175"/>
      <c r="D14" s="52"/>
      <c r="E14" s="181" t="b">
        <f>IF(Interview!E23="no","N/A",IF(Interview!E23="yes",IF(Interview!E17="married filing jointly",-'Standard Deduction'!C8,IF(Interview!E17="married filing separately",-'Standard Deduction'!C15,IF(Interview!E17="single",-'Standard Deduction'!C15,IF(Interview!E17="head of household",-'Standard Deduction'!C22))))))</f>
        <v>0</v>
      </c>
      <c r="F14" s="2"/>
    </row>
    <row r="15" spans="1:6" x14ac:dyDescent="0.25">
      <c r="B15" s="380" t="s">
        <v>38</v>
      </c>
      <c r="C15" s="171"/>
      <c r="D15" s="172"/>
      <c r="E15" s="381" t="str">
        <f>IF(Interview!E23="Yes",E13+E14,"N/A")</f>
        <v>N/A</v>
      </c>
      <c r="F15" s="2"/>
    </row>
    <row r="16" spans="1:6" x14ac:dyDescent="0.25">
      <c r="B16" s="61"/>
      <c r="C16" s="379" t="s">
        <v>166</v>
      </c>
      <c r="D16" s="53"/>
      <c r="E16" s="62"/>
      <c r="F16" s="2"/>
    </row>
    <row r="17" spans="2:6" x14ac:dyDescent="0.25">
      <c r="B17" s="61"/>
      <c r="C17" s="55" t="s">
        <v>51</v>
      </c>
      <c r="D17" s="53">
        <f>IF(Interview!E23="yes",0,IF(Interview!E17="married filing separately",'Itemized Deduction Adjustments'!E20,'Itemized Deduction Adjustments'!D20))</f>
        <v>0</v>
      </c>
      <c r="E17" s="62"/>
      <c r="F17" s="2"/>
    </row>
    <row r="18" spans="2:6" x14ac:dyDescent="0.25">
      <c r="B18" s="61"/>
      <c r="C18" s="55" t="s">
        <v>47</v>
      </c>
      <c r="D18" s="53">
        <f>IF(Interview!E23="yes",0,IF(Interview!F40&lt;10000,0,(Interview!F40-10000)))</f>
        <v>0</v>
      </c>
      <c r="E18" s="62"/>
      <c r="F18" s="2"/>
    </row>
    <row r="19" spans="2:6" x14ac:dyDescent="0.25">
      <c r="B19" s="61"/>
      <c r="C19" s="55" t="s">
        <v>48</v>
      </c>
      <c r="D19" s="53">
        <f>IF(Interview!E23="yes",0,(Interview!F41-Interview!F42))</f>
        <v>0</v>
      </c>
      <c r="E19" s="62"/>
      <c r="F19" s="2"/>
    </row>
    <row r="20" spans="2:6" x14ac:dyDescent="0.25">
      <c r="B20" s="61"/>
      <c r="C20" s="55" t="s">
        <v>49</v>
      </c>
      <c r="D20" s="53">
        <f>IF(Interview!E23="yes",0,Interview!F43)</f>
        <v>0</v>
      </c>
      <c r="E20" s="62"/>
      <c r="F20" s="2"/>
    </row>
    <row r="21" spans="2:6" x14ac:dyDescent="0.25">
      <c r="B21" s="61"/>
      <c r="C21" s="55" t="s">
        <v>168</v>
      </c>
      <c r="D21" s="53">
        <f>IF(Interview!E23="yes",0,Interview!F44)</f>
        <v>0</v>
      </c>
      <c r="E21" s="62"/>
      <c r="F21" s="2"/>
    </row>
    <row r="22" spans="2:6" x14ac:dyDescent="0.25">
      <c r="B22" s="61"/>
      <c r="C22" s="55" t="s">
        <v>52</v>
      </c>
      <c r="D22" s="53">
        <f>IF(Interview!E23="yes",0,(Interview!F33-Interview!F25)*-1)</f>
        <v>0</v>
      </c>
      <c r="E22" s="62"/>
      <c r="F22" s="2"/>
    </row>
    <row r="23" spans="2:6" x14ac:dyDescent="0.25">
      <c r="B23" s="173" t="s">
        <v>166</v>
      </c>
      <c r="C23" s="171"/>
      <c r="D23" s="172"/>
      <c r="E23" s="174">
        <f>IF(Interview!E23="yes","N/A",SUM(D17:D22))</f>
        <v>0</v>
      </c>
      <c r="F23" s="2"/>
    </row>
    <row r="24" spans="2:6" x14ac:dyDescent="0.25">
      <c r="B24" s="173" t="s">
        <v>248</v>
      </c>
      <c r="C24" s="171"/>
      <c r="D24" s="172"/>
      <c r="E24" s="174">
        <f>IF(Interview!E17="married filing jointly",-'Standard Deduction'!D8,IF(Interview!E17="married filing separately",-'Standard Deduction'!D15,IF(Interview!E17="single",-'Standard Deduction'!D15,IF(Interview!E17="head of household",-'Standard Deduction'!D22,0))))</f>
        <v>0</v>
      </c>
      <c r="F24" s="2"/>
    </row>
    <row r="25" spans="2:6" x14ac:dyDescent="0.25">
      <c r="B25" s="212"/>
      <c r="C25" s="58"/>
      <c r="D25" s="67"/>
      <c r="E25" s="213"/>
      <c r="F25" s="2"/>
    </row>
    <row r="26" spans="2:6" x14ac:dyDescent="0.25">
      <c r="B26" s="255" t="s">
        <v>169</v>
      </c>
      <c r="C26" s="214"/>
      <c r="D26" s="215"/>
      <c r="E26" s="256"/>
    </row>
    <row r="27" spans="2:6" x14ac:dyDescent="0.25">
      <c r="B27" s="202"/>
      <c r="C27" s="339" t="s">
        <v>170</v>
      </c>
      <c r="D27" s="172"/>
      <c r="E27" s="174">
        <f>Interview!F52</f>
        <v>0</v>
      </c>
    </row>
    <row r="28" spans="2:6" x14ac:dyDescent="0.25">
      <c r="B28" s="66"/>
      <c r="C28" s="124"/>
      <c r="D28" s="67"/>
      <c r="E28" s="213"/>
    </row>
    <row r="29" spans="2:6" x14ac:dyDescent="0.25">
      <c r="B29" s="173" t="s">
        <v>285</v>
      </c>
      <c r="C29" s="171"/>
      <c r="D29" s="172"/>
      <c r="E29" s="174">
        <f>IF(Interview!E23="yes",E4+E9+E10+E14+E27,E4+E9+E10+E23+E24+E27)</f>
        <v>0</v>
      </c>
    </row>
    <row r="30" spans="2:6" x14ac:dyDescent="0.25">
      <c r="B30" s="173" t="s">
        <v>286</v>
      </c>
      <c r="C30" s="171"/>
      <c r="D30" s="172"/>
      <c r="E30" s="174">
        <f>-QTB!C37</f>
        <v>0</v>
      </c>
    </row>
    <row r="31" spans="2:6" x14ac:dyDescent="0.25">
      <c r="B31" s="217" t="s">
        <v>73</v>
      </c>
      <c r="C31" s="176"/>
      <c r="D31" s="177"/>
      <c r="E31" s="178">
        <f>E29+E30</f>
        <v>0</v>
      </c>
    </row>
    <row r="32" spans="2:6" x14ac:dyDescent="0.25">
      <c r="B32" s="204"/>
      <c r="C32" s="205"/>
      <c r="D32" s="206"/>
      <c r="E32" s="218"/>
    </row>
    <row r="33" spans="2:8" x14ac:dyDescent="0.25">
      <c r="B33" s="219" t="s">
        <v>75</v>
      </c>
      <c r="C33" s="220"/>
      <c r="D33" s="221"/>
      <c r="E33" s="222" t="b">
        <f>IF(Interview!E17="Married Filing Jointly",'Tax Calcuation'!G13,IF(Interview!E17="Married Filing Separately",'Tax Calcuation'!G24,IF(Interview!E17="Head of Household",'Tax Calcuation'!G35,IF(Interview!E17="Single",'Tax Calcuation'!G46))))</f>
        <v>0</v>
      </c>
    </row>
    <row r="34" spans="2:8" x14ac:dyDescent="0.25">
      <c r="B34" s="216" t="s">
        <v>171</v>
      </c>
      <c r="C34" s="189"/>
      <c r="D34" s="165"/>
      <c r="E34" s="65" t="b">
        <f>IF(Interview!E17="Married Filing Jointly",AMT!C19,IF(Interview!E17="Married Filing Separately",AMT!C26,IF(Interview!E17="Head of Household",AMT!C33,IF(Interview!E17="Single",AMT!C33))))</f>
        <v>0</v>
      </c>
      <c r="H34" s="225"/>
    </row>
    <row r="35" spans="2:8" x14ac:dyDescent="0.25">
      <c r="B35" s="257" t="s">
        <v>176</v>
      </c>
      <c r="C35" s="190"/>
      <c r="D35" s="170"/>
      <c r="E35" s="179">
        <f>-'Child Tax Credit'!C17</f>
        <v>0</v>
      </c>
    </row>
    <row r="36" spans="2:8" x14ac:dyDescent="0.25">
      <c r="B36" s="258" t="s">
        <v>172</v>
      </c>
      <c r="C36" s="191"/>
      <c r="D36" s="192"/>
      <c r="E36" s="64">
        <f>-Interview!F95</f>
        <v>0</v>
      </c>
      <c r="H36" s="225"/>
    </row>
    <row r="37" spans="2:8" x14ac:dyDescent="0.25">
      <c r="B37" s="216" t="s">
        <v>173</v>
      </c>
      <c r="C37" s="189"/>
      <c r="D37" s="165"/>
      <c r="E37" s="65">
        <f>-Interview!F99</f>
        <v>0</v>
      </c>
      <c r="H37" s="226"/>
    </row>
    <row r="38" spans="2:8" x14ac:dyDescent="0.25">
      <c r="B38" s="216" t="s">
        <v>217</v>
      </c>
      <c r="C38" s="189"/>
      <c r="D38" s="165"/>
      <c r="E38" s="65">
        <f>Interview!F101-Interview!F97</f>
        <v>0</v>
      </c>
    </row>
    <row r="39" spans="2:8" ht="30.75" thickBot="1" x14ac:dyDescent="0.3">
      <c r="B39" s="259" t="s">
        <v>175</v>
      </c>
      <c r="C39" s="260"/>
      <c r="D39" s="261"/>
      <c r="E39" s="389">
        <f>E33+E34+E35+E36+E37+E38</f>
        <v>0</v>
      </c>
    </row>
    <row r="40" spans="2:8" ht="15.75" thickBot="1" x14ac:dyDescent="0.3">
      <c r="B40" s="233"/>
      <c r="C40" s="233"/>
      <c r="D40" s="234"/>
      <c r="E40" s="230"/>
    </row>
    <row r="41" spans="2:8" ht="15.75" thickBot="1" x14ac:dyDescent="0.3">
      <c r="B41" s="264" t="s">
        <v>213</v>
      </c>
      <c r="C41" s="262"/>
      <c r="D41" s="262"/>
      <c r="E41" s="263"/>
    </row>
    <row r="42" spans="2:8" x14ac:dyDescent="0.25">
      <c r="B42" s="340" t="str">
        <f>IF(Interview!$F$87&gt;$E$31,"The 2017 TCJA Reduced Your Taxable Income","The 2017 TCJA Increased Your Taxable Income")</f>
        <v>The 2017 TCJA Increased Your Taxable Income</v>
      </c>
      <c r="C42" s="265"/>
      <c r="D42" s="266"/>
      <c r="E42" s="387">
        <f>IF(Interview!F87&gt;'Report of Adjustments'!E31,Interview!F87-'Report of Adjustments'!E31,'Report of Adjustments'!E31-Interview!F87)</f>
        <v>0</v>
      </c>
    </row>
    <row r="43" spans="2:8" ht="15.75" thickBot="1" x14ac:dyDescent="0.3">
      <c r="B43" s="267" t="str">
        <f>IF(Interview!F101&gt;'Report of Adjustments'!E39,"The 2017 TCJA Reduced Your Tax","The 2017 TCJA Increased Your Tax")</f>
        <v>The 2017 TCJA Increased Your Tax</v>
      </c>
      <c r="C43" s="268"/>
      <c r="D43" s="269"/>
      <c r="E43" s="388">
        <f>IF(Interview!F101&gt;'Report of Adjustments'!E39,Interview!F101-'Report of Adjustments'!E39,'Report of Adjustments'!E39-Interview!F101)</f>
        <v>0</v>
      </c>
    </row>
    <row r="44" spans="2:8" x14ac:dyDescent="0.25">
      <c r="B44" s="124"/>
    </row>
  </sheetData>
  <sheetProtection algorithmName="SHA-512" hashValue="vHFoAJP1coMvd5hAFIHvpT3OEEFXMggCuLp3TQplespq4MEom9M1BIPJtr5wASQhOJbxO9UQkpk1hbF5BQnzmw==" saltValue="wyhX43NHF3CFQEYPGOeRiw==" spinCount="100000" sheet="1" objects="1" scenarios="1" selectLockedCells="1"/>
  <dataValidations disablePrompts="1" count="1">
    <dataValidation type="list" allowBlank="1" showInputMessage="1" showErrorMessage="1" sqref="D36">
      <formula1>"Specified Service Trade or Business, Any trade or business involving the performance of services in the fields of health, law, accounting actuarial science performing arts"</formula1>
    </dataValidation>
  </dataValidations>
  <pageMargins left="0.7" right="0.7" top="0.75" bottom="0.75" header="0.3" footer="0.3"/>
  <pageSetup orientation="portrait" r:id="rId1"/>
  <headerFooter>
    <oddFooter>&amp;L&amp;"Times New Roman,Regular"&amp;9 1863330v.1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115" zoomScaleNormal="115" workbookViewId="0">
      <selection activeCell="F9" sqref="F9"/>
    </sheetView>
  </sheetViews>
  <sheetFormatPr defaultRowHeight="15" x14ac:dyDescent="0.25"/>
  <cols>
    <col min="1" max="1" width="18.5703125" customWidth="1"/>
    <col min="3" max="7" width="12.7109375" customWidth="1"/>
  </cols>
  <sheetData>
    <row r="1" spans="1:8" ht="15.75" thickBot="1" x14ac:dyDescent="0.3"/>
    <row r="2" spans="1:8" ht="15.75" thickBot="1" x14ac:dyDescent="0.3">
      <c r="A2" s="9" t="s">
        <v>17</v>
      </c>
      <c r="B2" s="2"/>
      <c r="C2" s="18">
        <f>'Report of Adjustments'!E31</f>
        <v>0</v>
      </c>
    </row>
    <row r="3" spans="1:8" x14ac:dyDescent="0.25">
      <c r="A3" s="9"/>
      <c r="B3" s="2"/>
    </row>
    <row r="4" spans="1:8" x14ac:dyDescent="0.25">
      <c r="B4" s="14" t="s">
        <v>22</v>
      </c>
      <c r="C4" s="15"/>
      <c r="D4" s="16"/>
      <c r="E4" s="10" t="s">
        <v>16</v>
      </c>
      <c r="F4" s="12"/>
      <c r="G4" s="11"/>
    </row>
    <row r="5" spans="1:8" ht="45" x14ac:dyDescent="0.25">
      <c r="B5" s="1" t="s">
        <v>18</v>
      </c>
      <c r="C5" s="10" t="s">
        <v>19</v>
      </c>
      <c r="D5" s="11"/>
      <c r="E5" s="17" t="s">
        <v>20</v>
      </c>
      <c r="F5" s="17" t="s">
        <v>24</v>
      </c>
      <c r="G5" s="17" t="s">
        <v>21</v>
      </c>
      <c r="H5" s="27" t="s">
        <v>25</v>
      </c>
    </row>
    <row r="6" spans="1:8" x14ac:dyDescent="0.25">
      <c r="B6" s="20">
        <v>0.1</v>
      </c>
      <c r="C6" s="21">
        <v>0</v>
      </c>
      <c r="D6" s="21">
        <v>19050</v>
      </c>
      <c r="E6" s="21"/>
      <c r="F6" s="21">
        <f>B6*$C$2</f>
        <v>0</v>
      </c>
      <c r="G6" s="21">
        <f>IF($C$2&lt;C6,0,IF($C$2&gt;D6,0,E6+F6))</f>
        <v>0</v>
      </c>
      <c r="H6" s="26" t="e">
        <f>G6/$C$2</f>
        <v>#DIV/0!</v>
      </c>
    </row>
    <row r="7" spans="1:8" x14ac:dyDescent="0.25">
      <c r="B7" s="22">
        <v>0.12</v>
      </c>
      <c r="C7" s="23">
        <f>D6+1</f>
        <v>19051</v>
      </c>
      <c r="D7" s="23">
        <v>77400</v>
      </c>
      <c r="E7" s="23">
        <f>B6*(D6-C6)+E6</f>
        <v>1905</v>
      </c>
      <c r="F7" s="23">
        <f t="shared" ref="F7:F12" si="0">B7*($C$2-D6)</f>
        <v>-2286</v>
      </c>
      <c r="G7" s="23">
        <f>IF($C$2&lt;C7,0,IF($C$2&gt;D7,0,E7+F7))</f>
        <v>0</v>
      </c>
      <c r="H7" s="28" t="e">
        <f t="shared" ref="H7:H11" si="1">G7/$C$2</f>
        <v>#DIV/0!</v>
      </c>
    </row>
    <row r="8" spans="1:8" x14ac:dyDescent="0.25">
      <c r="B8" s="22">
        <v>0.22</v>
      </c>
      <c r="C8" s="23">
        <f t="shared" ref="C8:C12" si="2">D7+1</f>
        <v>77401</v>
      </c>
      <c r="D8" s="23">
        <v>165000</v>
      </c>
      <c r="E8" s="23">
        <f>B7*(D7-D6)+E7</f>
        <v>8907</v>
      </c>
      <c r="F8" s="23">
        <f t="shared" si="0"/>
        <v>-17028</v>
      </c>
      <c r="G8" s="23">
        <f t="shared" ref="G8:G12" si="3">IF($C$2&lt;C8,0,IF($C$2&gt;D8,0,E8+F8))</f>
        <v>0</v>
      </c>
      <c r="H8" s="28" t="e">
        <f t="shared" si="1"/>
        <v>#DIV/0!</v>
      </c>
    </row>
    <row r="9" spans="1:8" x14ac:dyDescent="0.25">
      <c r="B9" s="22">
        <v>0.24</v>
      </c>
      <c r="C9" s="23">
        <f t="shared" si="2"/>
        <v>165001</v>
      </c>
      <c r="D9" s="23">
        <v>315000</v>
      </c>
      <c r="E9" s="23">
        <f t="shared" ref="E9:E12" si="4">B8*(D8-D7)+E8</f>
        <v>28179</v>
      </c>
      <c r="F9" s="23">
        <f>B9*($C$2-D8)</f>
        <v>-39600</v>
      </c>
      <c r="G9" s="23">
        <f t="shared" si="3"/>
        <v>0</v>
      </c>
      <c r="H9" s="28" t="e">
        <f t="shared" si="1"/>
        <v>#DIV/0!</v>
      </c>
    </row>
    <row r="10" spans="1:8" x14ac:dyDescent="0.25">
      <c r="B10" s="22">
        <v>0.32</v>
      </c>
      <c r="C10" s="23">
        <f t="shared" si="2"/>
        <v>315001</v>
      </c>
      <c r="D10" s="23">
        <v>400000</v>
      </c>
      <c r="E10" s="23">
        <f t="shared" si="4"/>
        <v>64179</v>
      </c>
      <c r="F10" s="23">
        <f t="shared" si="0"/>
        <v>-100800</v>
      </c>
      <c r="G10" s="23">
        <f t="shared" si="3"/>
        <v>0</v>
      </c>
      <c r="H10" s="28" t="e">
        <f t="shared" si="1"/>
        <v>#DIV/0!</v>
      </c>
    </row>
    <row r="11" spans="1:8" x14ac:dyDescent="0.25">
      <c r="B11" s="22">
        <v>0.35</v>
      </c>
      <c r="C11" s="23">
        <f t="shared" si="2"/>
        <v>400001</v>
      </c>
      <c r="D11" s="23">
        <v>600000</v>
      </c>
      <c r="E11" s="23">
        <f t="shared" si="4"/>
        <v>91379</v>
      </c>
      <c r="F11" s="23">
        <f t="shared" si="0"/>
        <v>-140000</v>
      </c>
      <c r="G11" s="23">
        <f t="shared" si="3"/>
        <v>0</v>
      </c>
      <c r="H11" s="28" t="e">
        <f t="shared" si="1"/>
        <v>#DIV/0!</v>
      </c>
    </row>
    <row r="12" spans="1:8" x14ac:dyDescent="0.25">
      <c r="B12" s="24">
        <v>0.37</v>
      </c>
      <c r="C12" s="19">
        <f t="shared" si="2"/>
        <v>600001</v>
      </c>
      <c r="D12" s="25" t="s">
        <v>23</v>
      </c>
      <c r="E12" s="19">
        <f t="shared" si="4"/>
        <v>161379</v>
      </c>
      <c r="F12" s="19">
        <f t="shared" si="0"/>
        <v>-222000</v>
      </c>
      <c r="G12" s="19">
        <f t="shared" si="3"/>
        <v>0</v>
      </c>
      <c r="H12" s="29" t="e">
        <f>G12/$C$2</f>
        <v>#DIV/0!</v>
      </c>
    </row>
    <row r="13" spans="1:8" x14ac:dyDescent="0.25">
      <c r="G13" s="30">
        <f>SUM(G6:G12)</f>
        <v>0</v>
      </c>
    </row>
    <row r="15" spans="1:8" x14ac:dyDescent="0.25">
      <c r="B15" s="14" t="s">
        <v>26</v>
      </c>
      <c r="C15" s="15"/>
      <c r="D15" s="16"/>
      <c r="E15" s="10" t="s">
        <v>16</v>
      </c>
      <c r="F15" s="12"/>
      <c r="G15" s="11"/>
    </row>
    <row r="16" spans="1:8" ht="45" x14ac:dyDescent="0.25">
      <c r="B16" s="1" t="s">
        <v>18</v>
      </c>
      <c r="C16" s="10" t="s">
        <v>19</v>
      </c>
      <c r="D16" s="11"/>
      <c r="E16" s="17" t="s">
        <v>20</v>
      </c>
      <c r="F16" s="17" t="s">
        <v>24</v>
      </c>
      <c r="G16" s="17" t="s">
        <v>21</v>
      </c>
      <c r="H16" s="27" t="s">
        <v>25</v>
      </c>
    </row>
    <row r="17" spans="2:8" x14ac:dyDescent="0.25">
      <c r="B17" s="20">
        <v>0.1</v>
      </c>
      <c r="C17" s="21">
        <v>0</v>
      </c>
      <c r="D17" s="21">
        <v>9525</v>
      </c>
      <c r="E17" s="21"/>
      <c r="F17" s="21">
        <f>B17*$C$2</f>
        <v>0</v>
      </c>
      <c r="G17" s="21">
        <f>IF($C$2&lt;C17,0,IF($C$2&gt;D17,0,E17+F17))</f>
        <v>0</v>
      </c>
      <c r="H17" s="26" t="e">
        <f>G17/$C$2</f>
        <v>#DIV/0!</v>
      </c>
    </row>
    <row r="18" spans="2:8" x14ac:dyDescent="0.25">
      <c r="B18" s="22">
        <v>0.12</v>
      </c>
      <c r="C18" s="23">
        <f>D17+1</f>
        <v>9526</v>
      </c>
      <c r="D18" s="23">
        <v>38700</v>
      </c>
      <c r="E18" s="23">
        <f>B17*(D17-C17)+E17</f>
        <v>952.5</v>
      </c>
      <c r="F18" s="23">
        <f t="shared" ref="F18:F23" si="5">B18*($C$2-D17)</f>
        <v>-1143</v>
      </c>
      <c r="G18" s="23">
        <f>IF($C$2&lt;C18,0,IF($C$2&gt;D18,0,E18+F18))</f>
        <v>0</v>
      </c>
      <c r="H18" s="28" t="e">
        <f t="shared" ref="H18:H22" si="6">G18/$C$2</f>
        <v>#DIV/0!</v>
      </c>
    </row>
    <row r="19" spans="2:8" x14ac:dyDescent="0.25">
      <c r="B19" s="22">
        <v>0.22</v>
      </c>
      <c r="C19" s="23">
        <f t="shared" ref="C19:C23" si="7">D18+1</f>
        <v>38701</v>
      </c>
      <c r="D19" s="23">
        <v>78075</v>
      </c>
      <c r="E19" s="23">
        <f t="shared" ref="E19:E23" si="8">B18*(D18-D17)+E18</f>
        <v>4453.5</v>
      </c>
      <c r="F19" s="23">
        <f t="shared" si="5"/>
        <v>-8514</v>
      </c>
      <c r="G19" s="23">
        <f t="shared" ref="G19:G23" si="9">IF($C$2&lt;C19,0,IF($C$2&gt;D19,0,E19+F19))</f>
        <v>0</v>
      </c>
      <c r="H19" s="28" t="e">
        <f t="shared" si="6"/>
        <v>#DIV/0!</v>
      </c>
    </row>
    <row r="20" spans="2:8" x14ac:dyDescent="0.25">
      <c r="B20" s="22">
        <v>0.24</v>
      </c>
      <c r="C20" s="23">
        <f t="shared" si="7"/>
        <v>78076</v>
      </c>
      <c r="D20" s="23">
        <v>118975</v>
      </c>
      <c r="E20" s="23">
        <f t="shared" si="8"/>
        <v>13116</v>
      </c>
      <c r="F20" s="23">
        <f t="shared" si="5"/>
        <v>-18738</v>
      </c>
      <c r="G20" s="23">
        <f t="shared" si="9"/>
        <v>0</v>
      </c>
      <c r="H20" s="28" t="e">
        <f t="shared" si="6"/>
        <v>#DIV/0!</v>
      </c>
    </row>
    <row r="21" spans="2:8" x14ac:dyDescent="0.25">
      <c r="B21" s="22">
        <v>0.32</v>
      </c>
      <c r="C21" s="23">
        <f t="shared" si="7"/>
        <v>118976</v>
      </c>
      <c r="D21" s="23">
        <v>212475</v>
      </c>
      <c r="E21" s="23">
        <f t="shared" si="8"/>
        <v>22932</v>
      </c>
      <c r="F21" s="23">
        <f t="shared" si="5"/>
        <v>-38072</v>
      </c>
      <c r="G21" s="23">
        <f t="shared" si="9"/>
        <v>0</v>
      </c>
      <c r="H21" s="28" t="e">
        <f t="shared" si="6"/>
        <v>#DIV/0!</v>
      </c>
    </row>
    <row r="22" spans="2:8" x14ac:dyDescent="0.25">
      <c r="B22" s="22">
        <v>0.35</v>
      </c>
      <c r="C22" s="23">
        <f t="shared" si="7"/>
        <v>212476</v>
      </c>
      <c r="D22" s="23">
        <v>240025</v>
      </c>
      <c r="E22" s="23">
        <f t="shared" si="8"/>
        <v>52852</v>
      </c>
      <c r="F22" s="23">
        <f t="shared" si="5"/>
        <v>-74366.25</v>
      </c>
      <c r="G22" s="23">
        <f t="shared" si="9"/>
        <v>0</v>
      </c>
      <c r="H22" s="28" t="e">
        <f t="shared" si="6"/>
        <v>#DIV/0!</v>
      </c>
    </row>
    <row r="23" spans="2:8" x14ac:dyDescent="0.25">
      <c r="B23" s="24">
        <v>0.37</v>
      </c>
      <c r="C23" s="19">
        <f t="shared" si="7"/>
        <v>240026</v>
      </c>
      <c r="D23" s="25" t="s">
        <v>29</v>
      </c>
      <c r="E23" s="19">
        <f t="shared" si="8"/>
        <v>62494.5</v>
      </c>
      <c r="F23" s="19">
        <f t="shared" si="5"/>
        <v>-88809.25</v>
      </c>
      <c r="G23" s="19">
        <f t="shared" si="9"/>
        <v>0</v>
      </c>
      <c r="H23" s="29" t="e">
        <f>G23/$C$2</f>
        <v>#DIV/0!</v>
      </c>
    </row>
    <row r="24" spans="2:8" x14ac:dyDescent="0.25">
      <c r="G24" s="30">
        <f>SUM(G17:G23)</f>
        <v>0</v>
      </c>
    </row>
    <row r="26" spans="2:8" x14ac:dyDescent="0.25">
      <c r="B26" s="14" t="s">
        <v>27</v>
      </c>
      <c r="C26" s="15"/>
      <c r="D26" s="16"/>
      <c r="E26" s="10" t="s">
        <v>16</v>
      </c>
      <c r="F26" s="12"/>
      <c r="G26" s="11"/>
    </row>
    <row r="27" spans="2:8" ht="45" x14ac:dyDescent="0.25">
      <c r="B27" s="1" t="s">
        <v>18</v>
      </c>
      <c r="C27" s="10" t="s">
        <v>19</v>
      </c>
      <c r="D27" s="11"/>
      <c r="E27" s="17" t="s">
        <v>20</v>
      </c>
      <c r="F27" s="17" t="s">
        <v>24</v>
      </c>
      <c r="G27" s="17" t="s">
        <v>21</v>
      </c>
      <c r="H27" s="27" t="s">
        <v>25</v>
      </c>
    </row>
    <row r="28" spans="2:8" x14ac:dyDescent="0.25">
      <c r="B28" s="20">
        <v>0.1</v>
      </c>
      <c r="C28" s="21">
        <v>0</v>
      </c>
      <c r="D28" s="21">
        <v>13600</v>
      </c>
      <c r="E28" s="21"/>
      <c r="F28" s="21">
        <f>B28*$C$2</f>
        <v>0</v>
      </c>
      <c r="G28" s="21">
        <f>IF($C$2&lt;C28,0,IF($C$2&gt;D28,0,E28+F28))</f>
        <v>0</v>
      </c>
      <c r="H28" s="26" t="e">
        <f>G28/$C$2</f>
        <v>#DIV/0!</v>
      </c>
    </row>
    <row r="29" spans="2:8" x14ac:dyDescent="0.25">
      <c r="B29" s="22">
        <v>0.12</v>
      </c>
      <c r="C29" s="23">
        <f>D28+1</f>
        <v>13601</v>
      </c>
      <c r="D29" s="23">
        <v>51850</v>
      </c>
      <c r="E29" s="23">
        <f>B28*(D28-C28)+E28</f>
        <v>1360</v>
      </c>
      <c r="F29" s="23">
        <f t="shared" ref="F29:F34" si="10">B29*($C$2-D28)</f>
        <v>-1632</v>
      </c>
      <c r="G29" s="23">
        <f>IF($C$2&lt;C29,0,IF($C$2&gt;D29,0,E29+F29))</f>
        <v>0</v>
      </c>
      <c r="H29" s="28" t="e">
        <f t="shared" ref="H29:H33" si="11">G29/$C$2</f>
        <v>#DIV/0!</v>
      </c>
    </row>
    <row r="30" spans="2:8" x14ac:dyDescent="0.25">
      <c r="B30" s="22">
        <v>0.22</v>
      </c>
      <c r="C30" s="23">
        <f t="shared" ref="C30:C34" si="12">D29+1</f>
        <v>51851</v>
      </c>
      <c r="D30" s="23">
        <v>133850</v>
      </c>
      <c r="E30" s="23">
        <f t="shared" ref="E30:E34" si="13">B29*(D29-D28)+E29</f>
        <v>5950</v>
      </c>
      <c r="F30" s="23">
        <f t="shared" si="10"/>
        <v>-11407</v>
      </c>
      <c r="G30" s="23">
        <f t="shared" ref="G30:G34" si="14">IF($C$2&lt;C30,0,IF($C$2&gt;D30,0,E30+F30))</f>
        <v>0</v>
      </c>
      <c r="H30" s="28" t="e">
        <f t="shared" si="11"/>
        <v>#DIV/0!</v>
      </c>
    </row>
    <row r="31" spans="2:8" x14ac:dyDescent="0.25">
      <c r="B31" s="22">
        <v>0.24</v>
      </c>
      <c r="C31" s="23">
        <f t="shared" si="12"/>
        <v>133851</v>
      </c>
      <c r="D31" s="23">
        <v>216700</v>
      </c>
      <c r="E31" s="23">
        <f t="shared" si="13"/>
        <v>23990</v>
      </c>
      <c r="F31" s="23">
        <f t="shared" si="10"/>
        <v>-32124</v>
      </c>
      <c r="G31" s="23">
        <f t="shared" si="14"/>
        <v>0</v>
      </c>
      <c r="H31" s="28" t="e">
        <f t="shared" si="11"/>
        <v>#DIV/0!</v>
      </c>
    </row>
    <row r="32" spans="2:8" x14ac:dyDescent="0.25">
      <c r="B32" s="22">
        <v>0.32</v>
      </c>
      <c r="C32" s="23">
        <f t="shared" si="12"/>
        <v>216701</v>
      </c>
      <c r="D32" s="23">
        <v>424950</v>
      </c>
      <c r="E32" s="23">
        <f t="shared" si="13"/>
        <v>43874</v>
      </c>
      <c r="F32" s="23">
        <f t="shared" si="10"/>
        <v>-69344</v>
      </c>
      <c r="G32" s="23">
        <f t="shared" si="14"/>
        <v>0</v>
      </c>
      <c r="H32" s="28" t="e">
        <f t="shared" si="11"/>
        <v>#DIV/0!</v>
      </c>
    </row>
    <row r="33" spans="2:8" x14ac:dyDescent="0.25">
      <c r="B33" s="22">
        <v>0.35</v>
      </c>
      <c r="C33" s="23">
        <f t="shared" si="12"/>
        <v>424951</v>
      </c>
      <c r="D33" s="23">
        <v>453350</v>
      </c>
      <c r="E33" s="23">
        <f t="shared" si="13"/>
        <v>110514</v>
      </c>
      <c r="F33" s="23">
        <f t="shared" si="10"/>
        <v>-148732.5</v>
      </c>
      <c r="G33" s="23">
        <f t="shared" si="14"/>
        <v>0</v>
      </c>
      <c r="H33" s="28" t="e">
        <f t="shared" si="11"/>
        <v>#DIV/0!</v>
      </c>
    </row>
    <row r="34" spans="2:8" x14ac:dyDescent="0.25">
      <c r="B34" s="24">
        <v>0.37</v>
      </c>
      <c r="C34" s="19">
        <f t="shared" si="12"/>
        <v>453351</v>
      </c>
      <c r="D34" s="25" t="s">
        <v>28</v>
      </c>
      <c r="E34" s="19">
        <f t="shared" si="13"/>
        <v>120454</v>
      </c>
      <c r="F34" s="19">
        <f t="shared" si="10"/>
        <v>-167739.5</v>
      </c>
      <c r="G34" s="19">
        <f t="shared" si="14"/>
        <v>0</v>
      </c>
      <c r="H34" s="29" t="e">
        <f>G34/$C$2</f>
        <v>#DIV/0!</v>
      </c>
    </row>
    <row r="35" spans="2:8" x14ac:dyDescent="0.25">
      <c r="G35" s="30">
        <f>SUM(G28:G34)</f>
        <v>0</v>
      </c>
    </row>
    <row r="37" spans="2:8" x14ac:dyDescent="0.25">
      <c r="B37" s="14" t="s">
        <v>30</v>
      </c>
      <c r="C37" s="15"/>
      <c r="D37" s="16"/>
      <c r="E37" s="10" t="s">
        <v>16</v>
      </c>
      <c r="F37" s="12"/>
      <c r="G37" s="11"/>
    </row>
    <row r="38" spans="2:8" ht="45" x14ac:dyDescent="0.25">
      <c r="B38" s="1" t="s">
        <v>18</v>
      </c>
      <c r="C38" s="10" t="s">
        <v>19</v>
      </c>
      <c r="D38" s="11"/>
      <c r="E38" s="17" t="s">
        <v>20</v>
      </c>
      <c r="F38" s="17" t="s">
        <v>24</v>
      </c>
      <c r="G38" s="17" t="s">
        <v>21</v>
      </c>
      <c r="H38" s="27" t="s">
        <v>25</v>
      </c>
    </row>
    <row r="39" spans="2:8" x14ac:dyDescent="0.25">
      <c r="B39" s="20">
        <v>0.1</v>
      </c>
      <c r="C39" s="21">
        <v>0</v>
      </c>
      <c r="D39" s="21">
        <v>9525</v>
      </c>
      <c r="E39" s="21"/>
      <c r="F39" s="21">
        <f>B39*$C$2</f>
        <v>0</v>
      </c>
      <c r="G39" s="21">
        <f>IF($C$2&lt;C39,0,IF($C$2&gt;D39,0,E39+F39))</f>
        <v>0</v>
      </c>
      <c r="H39" s="26" t="e">
        <f>G39/$C$2</f>
        <v>#DIV/0!</v>
      </c>
    </row>
    <row r="40" spans="2:8" x14ac:dyDescent="0.25">
      <c r="B40" s="22">
        <v>0.12</v>
      </c>
      <c r="C40" s="23">
        <f>D39+1</f>
        <v>9526</v>
      </c>
      <c r="D40" s="23">
        <v>38700</v>
      </c>
      <c r="E40" s="23">
        <f>B39*(D39-C39)+E39</f>
        <v>952.5</v>
      </c>
      <c r="F40" s="23">
        <f t="shared" ref="F40:F45" si="15">B40*($C$2-D39)</f>
        <v>-1143</v>
      </c>
      <c r="G40" s="23">
        <f>IF($C$2&lt;C40,0,IF($C$2&gt;D40,0,E40+F40))</f>
        <v>0</v>
      </c>
      <c r="H40" s="28" t="e">
        <f t="shared" ref="H40:H44" si="16">G40/$C$2</f>
        <v>#DIV/0!</v>
      </c>
    </row>
    <row r="41" spans="2:8" x14ac:dyDescent="0.25">
      <c r="B41" s="22">
        <v>0.22</v>
      </c>
      <c r="C41" s="23">
        <f t="shared" ref="C41:C45" si="17">D40+1</f>
        <v>38701</v>
      </c>
      <c r="D41" s="23">
        <v>93700</v>
      </c>
      <c r="E41" s="23">
        <f t="shared" ref="E41:E45" si="18">B40*(D40-D39)+E40</f>
        <v>4453.5</v>
      </c>
      <c r="F41" s="23">
        <f t="shared" si="15"/>
        <v>-8514</v>
      </c>
      <c r="G41" s="23">
        <f t="shared" ref="G41:G45" si="19">IF($C$2&lt;C41,0,IF($C$2&gt;D41,0,E41+F41))</f>
        <v>0</v>
      </c>
      <c r="H41" s="28" t="e">
        <f t="shared" si="16"/>
        <v>#DIV/0!</v>
      </c>
    </row>
    <row r="42" spans="2:8" x14ac:dyDescent="0.25">
      <c r="B42" s="22">
        <v>0.24</v>
      </c>
      <c r="C42" s="23">
        <f t="shared" si="17"/>
        <v>93701</v>
      </c>
      <c r="D42" s="23">
        <v>195450</v>
      </c>
      <c r="E42" s="23">
        <f t="shared" si="18"/>
        <v>16553.5</v>
      </c>
      <c r="F42" s="23">
        <f t="shared" si="15"/>
        <v>-22488</v>
      </c>
      <c r="G42" s="23">
        <f t="shared" si="19"/>
        <v>0</v>
      </c>
      <c r="H42" s="28" t="e">
        <f t="shared" si="16"/>
        <v>#DIV/0!</v>
      </c>
    </row>
    <row r="43" spans="2:8" x14ac:dyDescent="0.25">
      <c r="B43" s="22">
        <v>0.32</v>
      </c>
      <c r="C43" s="23">
        <f t="shared" si="17"/>
        <v>195451</v>
      </c>
      <c r="D43" s="23">
        <v>424950</v>
      </c>
      <c r="E43" s="23">
        <f t="shared" si="18"/>
        <v>40973.5</v>
      </c>
      <c r="F43" s="23">
        <f t="shared" si="15"/>
        <v>-62544</v>
      </c>
      <c r="G43" s="23">
        <f t="shared" si="19"/>
        <v>0</v>
      </c>
      <c r="H43" s="28" t="e">
        <f t="shared" si="16"/>
        <v>#DIV/0!</v>
      </c>
    </row>
    <row r="44" spans="2:8" x14ac:dyDescent="0.25">
      <c r="B44" s="22">
        <v>0.35</v>
      </c>
      <c r="C44" s="23">
        <f t="shared" si="17"/>
        <v>424951</v>
      </c>
      <c r="D44" s="23">
        <v>426700</v>
      </c>
      <c r="E44" s="23">
        <f t="shared" si="18"/>
        <v>114413.5</v>
      </c>
      <c r="F44" s="23">
        <f t="shared" si="15"/>
        <v>-148732.5</v>
      </c>
      <c r="G44" s="23">
        <f t="shared" si="19"/>
        <v>0</v>
      </c>
      <c r="H44" s="28" t="e">
        <f t="shared" si="16"/>
        <v>#DIV/0!</v>
      </c>
    </row>
    <row r="45" spans="2:8" x14ac:dyDescent="0.25">
      <c r="B45" s="24">
        <v>0.37</v>
      </c>
      <c r="C45" s="19">
        <f t="shared" si="17"/>
        <v>426701</v>
      </c>
      <c r="D45" s="25" t="s">
        <v>31</v>
      </c>
      <c r="E45" s="19">
        <f t="shared" si="18"/>
        <v>115026</v>
      </c>
      <c r="F45" s="19">
        <f t="shared" si="15"/>
        <v>-157879</v>
      </c>
      <c r="G45" s="19">
        <f t="shared" si="19"/>
        <v>0</v>
      </c>
      <c r="H45" s="29" t="e">
        <f>G45/$C$2</f>
        <v>#DIV/0!</v>
      </c>
    </row>
    <row r="46" spans="2:8" x14ac:dyDescent="0.25">
      <c r="G46" s="30">
        <f>SUM(G39:G45)</f>
        <v>0</v>
      </c>
    </row>
  </sheetData>
  <pageMargins left="0.7" right="0.7" top="0.75" bottom="0.75" header="0.3" footer="0.3"/>
  <pageSetup scale="87" orientation="portrait" r:id="rId1"/>
  <headerFooter>
    <oddFooter>&amp;L&amp;"Times New Roman,Regular"&amp;9 1863330v.1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0" workbookViewId="0">
      <selection activeCell="D8" sqref="D8"/>
    </sheetView>
  </sheetViews>
  <sheetFormatPr defaultRowHeight="15" x14ac:dyDescent="0.25"/>
  <cols>
    <col min="2" max="2" width="32.140625" customWidth="1"/>
    <col min="3" max="3" width="12.7109375" style="13" customWidth="1"/>
    <col min="4" max="4" width="11.28515625" customWidth="1"/>
    <col min="5" max="5" width="14.42578125" customWidth="1"/>
    <col min="7" max="7" width="13.42578125" customWidth="1"/>
    <col min="8" max="8" width="13.140625" customWidth="1"/>
    <col min="9" max="10" width="12.7109375" customWidth="1"/>
  </cols>
  <sheetData>
    <row r="1" spans="1:4" x14ac:dyDescent="0.25">
      <c r="A1" t="s">
        <v>35</v>
      </c>
    </row>
    <row r="2" spans="1:4" ht="75" x14ac:dyDescent="0.25">
      <c r="C2" s="332" t="s">
        <v>46</v>
      </c>
      <c r="D2" s="333" t="s">
        <v>247</v>
      </c>
    </row>
    <row r="3" spans="1:4" x14ac:dyDescent="0.25">
      <c r="B3" s="41" t="s">
        <v>22</v>
      </c>
      <c r="D3" s="13"/>
    </row>
    <row r="4" spans="1:4" ht="30" x14ac:dyDescent="0.25">
      <c r="B4" s="4" t="s">
        <v>249</v>
      </c>
      <c r="C4" s="13">
        <f>+Interview!F25</f>
        <v>0</v>
      </c>
      <c r="D4" s="334">
        <f>IF(Interview!E23="yes","N/A",Interview!F25-'Report of Adjustments'!E23)</f>
        <v>0</v>
      </c>
    </row>
    <row r="5" spans="1:4" x14ac:dyDescent="0.25">
      <c r="B5" s="4" t="s">
        <v>36</v>
      </c>
      <c r="C5" s="13">
        <v>-12700</v>
      </c>
      <c r="D5" s="13"/>
    </row>
    <row r="6" spans="1:4" x14ac:dyDescent="0.25">
      <c r="B6" t="s">
        <v>37</v>
      </c>
      <c r="C6" s="19">
        <v>24000</v>
      </c>
      <c r="D6" s="19">
        <f>24000+F42</f>
        <v>24000</v>
      </c>
    </row>
    <row r="7" spans="1:4" x14ac:dyDescent="0.25">
      <c r="B7" t="s">
        <v>38</v>
      </c>
      <c r="C7" s="13">
        <f>SUM(C4:C6)</f>
        <v>11300</v>
      </c>
      <c r="D7" s="13"/>
    </row>
    <row r="8" spans="1:4" x14ac:dyDescent="0.25">
      <c r="B8" t="s">
        <v>39</v>
      </c>
      <c r="C8" s="33">
        <f>C7-C4</f>
        <v>11300</v>
      </c>
      <c r="D8" s="275">
        <f>IF(Interview!E23="yes","N/A",IF(D6&lt;D4,0,'Standard Deduction'!D6-'Standard Deduction'!D4))</f>
        <v>24000</v>
      </c>
    </row>
    <row r="9" spans="1:4" x14ac:dyDescent="0.25">
      <c r="D9" s="13"/>
    </row>
    <row r="10" spans="1:4" x14ac:dyDescent="0.25">
      <c r="B10" s="41" t="s">
        <v>40</v>
      </c>
      <c r="D10" s="13"/>
    </row>
    <row r="11" spans="1:4" ht="30" x14ac:dyDescent="0.25">
      <c r="B11" s="4" t="s">
        <v>249</v>
      </c>
      <c r="C11" s="13">
        <f>Interview!F25</f>
        <v>0</v>
      </c>
      <c r="D11" s="334">
        <f>IF(Interview!E23="yes","N/A",Interview!F25-'Report of Adjustments'!E23)</f>
        <v>0</v>
      </c>
    </row>
    <row r="12" spans="1:4" x14ac:dyDescent="0.25">
      <c r="B12" t="s">
        <v>36</v>
      </c>
      <c r="C12" s="13">
        <v>-6350</v>
      </c>
      <c r="D12" s="13"/>
    </row>
    <row r="13" spans="1:4" x14ac:dyDescent="0.25">
      <c r="B13" t="s">
        <v>37</v>
      </c>
      <c r="C13" s="19">
        <v>12000</v>
      </c>
      <c r="D13" s="19">
        <f>12000+F42</f>
        <v>12000</v>
      </c>
    </row>
    <row r="14" spans="1:4" x14ac:dyDescent="0.25">
      <c r="B14" t="s">
        <v>38</v>
      </c>
      <c r="C14" s="13">
        <f>SUM(C11:C13)</f>
        <v>5650</v>
      </c>
      <c r="D14" s="13"/>
    </row>
    <row r="15" spans="1:4" x14ac:dyDescent="0.25">
      <c r="B15" t="s">
        <v>39</v>
      </c>
      <c r="C15" s="33">
        <f>C14-C11</f>
        <v>5650</v>
      </c>
      <c r="D15" s="275">
        <f>IF(Interview!E23="yes","N/A",IF(D13&lt;D11,0,'Standard Deduction'!D13-'Standard Deduction'!D11))</f>
        <v>12000</v>
      </c>
    </row>
    <row r="16" spans="1:4" x14ac:dyDescent="0.25">
      <c r="D16" s="13"/>
    </row>
    <row r="17" spans="2:10" x14ac:dyDescent="0.25">
      <c r="B17" s="41" t="s">
        <v>27</v>
      </c>
      <c r="D17" s="13"/>
    </row>
    <row r="18" spans="2:10" ht="30" x14ac:dyDescent="0.25">
      <c r="B18" s="4" t="s">
        <v>249</v>
      </c>
      <c r="C18" s="13">
        <f>Interview!F25</f>
        <v>0</v>
      </c>
      <c r="D18" s="334">
        <f>IF(Interview!E23="yes","N/A",Interview!F25-'Report of Adjustments'!E23)</f>
        <v>0</v>
      </c>
    </row>
    <row r="19" spans="2:10" x14ac:dyDescent="0.25">
      <c r="B19" t="s">
        <v>36</v>
      </c>
      <c r="C19" s="13">
        <v>-9350</v>
      </c>
      <c r="D19" s="13"/>
    </row>
    <row r="20" spans="2:10" x14ac:dyDescent="0.25">
      <c r="B20" t="s">
        <v>37</v>
      </c>
      <c r="C20" s="19">
        <v>18000</v>
      </c>
      <c r="D20" s="19">
        <f>18000+F42</f>
        <v>18000</v>
      </c>
    </row>
    <row r="21" spans="2:10" x14ac:dyDescent="0.25">
      <c r="B21" t="s">
        <v>38</v>
      </c>
      <c r="C21" s="13">
        <f>SUM(C18:C20)</f>
        <v>8650</v>
      </c>
      <c r="D21" s="13"/>
    </row>
    <row r="22" spans="2:10" x14ac:dyDescent="0.25">
      <c r="B22" t="s">
        <v>39</v>
      </c>
      <c r="C22" s="33">
        <f>C21-C18</f>
        <v>8650</v>
      </c>
      <c r="D22" s="275">
        <f>IF(Interview!E23="yes","N/A",IF(D20&lt;D18,0,'Standard Deduction'!D20-'Standard Deduction'!D18))</f>
        <v>18000</v>
      </c>
    </row>
    <row r="23" spans="2:10" x14ac:dyDescent="0.25">
      <c r="D23" s="13"/>
    </row>
    <row r="24" spans="2:10" x14ac:dyDescent="0.25">
      <c r="D24" s="13"/>
    </row>
    <row r="25" spans="2:10" x14ac:dyDescent="0.25">
      <c r="D25" s="13"/>
    </row>
    <row r="26" spans="2:10" x14ac:dyDescent="0.25">
      <c r="D26" s="13"/>
    </row>
    <row r="27" spans="2:10" x14ac:dyDescent="0.25">
      <c r="D27" s="13"/>
    </row>
    <row r="28" spans="2:10" x14ac:dyDescent="0.25">
      <c r="C28"/>
      <c r="D28" s="13"/>
    </row>
    <row r="29" spans="2:10" ht="60" x14ac:dyDescent="0.25">
      <c r="C29"/>
      <c r="D29" s="13"/>
      <c r="F29" s="17" t="s">
        <v>45</v>
      </c>
      <c r="G29" s="3" t="s">
        <v>42</v>
      </c>
      <c r="H29" s="43"/>
      <c r="I29" s="32"/>
      <c r="J29" s="32"/>
    </row>
    <row r="30" spans="2:10" x14ac:dyDescent="0.25">
      <c r="B30" s="42" t="s">
        <v>41</v>
      </c>
      <c r="C30"/>
      <c r="F30" s="13"/>
      <c r="G30" s="13"/>
      <c r="H30" s="23"/>
      <c r="I30" s="23"/>
      <c r="J30" s="2"/>
    </row>
    <row r="31" spans="2:10" x14ac:dyDescent="0.25">
      <c r="C31" t="s">
        <v>27</v>
      </c>
      <c r="F31" s="13">
        <v>9350</v>
      </c>
      <c r="G31" s="13">
        <v>18000</v>
      </c>
      <c r="H31" s="44"/>
      <c r="I31" s="23"/>
      <c r="J31" s="23"/>
    </row>
    <row r="32" spans="2:10" x14ac:dyDescent="0.25">
      <c r="C32" t="s">
        <v>43</v>
      </c>
      <c r="F32" s="13">
        <v>12700</v>
      </c>
      <c r="G32" s="13">
        <v>24000</v>
      </c>
      <c r="H32" s="44"/>
      <c r="I32" s="23"/>
      <c r="J32" s="23"/>
    </row>
    <row r="33" spans="2:10" x14ac:dyDescent="0.25">
      <c r="C33" t="s">
        <v>44</v>
      </c>
      <c r="F33" s="13">
        <v>6350</v>
      </c>
      <c r="G33" s="13">
        <v>12000</v>
      </c>
      <c r="H33" s="44"/>
      <c r="I33" s="23"/>
      <c r="J33" s="23"/>
    </row>
    <row r="34" spans="2:10" x14ac:dyDescent="0.25">
      <c r="C34" t="s">
        <v>1</v>
      </c>
      <c r="F34" s="13">
        <v>6350</v>
      </c>
      <c r="G34" s="13">
        <v>12000</v>
      </c>
      <c r="H34" s="44"/>
      <c r="I34" s="23"/>
      <c r="J34" s="23"/>
    </row>
    <row r="35" spans="2:10" x14ac:dyDescent="0.25">
      <c r="C35"/>
      <c r="F35" s="13"/>
      <c r="G35" s="13"/>
      <c r="H35" s="44"/>
      <c r="I35" s="23"/>
      <c r="J35" s="2"/>
    </row>
    <row r="36" spans="2:10" x14ac:dyDescent="0.25">
      <c r="C36"/>
      <c r="F36" s="13"/>
      <c r="G36" s="13"/>
      <c r="H36" s="13"/>
      <c r="I36" s="13"/>
    </row>
    <row r="39" spans="2:10" x14ac:dyDescent="0.25">
      <c r="B39" t="s">
        <v>278</v>
      </c>
      <c r="C39" s="384"/>
      <c r="D39" s="3" t="s">
        <v>281</v>
      </c>
      <c r="E39" s="385" t="s">
        <v>282</v>
      </c>
      <c r="F39" s="382" t="s">
        <v>283</v>
      </c>
    </row>
    <row r="40" spans="2:10" x14ac:dyDescent="0.25">
      <c r="C40" s="386" t="s">
        <v>279</v>
      </c>
      <c r="D40" s="1">
        <f>IF(Interview!E27="yes",1250,0)</f>
        <v>0</v>
      </c>
      <c r="E40" s="383">
        <f>IF(Interview!E29="yes",1250,0)</f>
        <v>0</v>
      </c>
      <c r="F40" s="1">
        <f>D40+E40</f>
        <v>0</v>
      </c>
    </row>
    <row r="41" spans="2:10" x14ac:dyDescent="0.25">
      <c r="C41" s="386" t="s">
        <v>280</v>
      </c>
      <c r="D41" s="1" t="b">
        <f>IF(Interview!E17="married filing jointly", IF(Interview!E28="yes",1250,0))</f>
        <v>0</v>
      </c>
      <c r="E41" s="383" t="b">
        <f>IF(Interview!E17="married filing jointly",IF(Interview!E30="yes",1250,0))</f>
        <v>0</v>
      </c>
      <c r="F41" s="1">
        <f>D41+E41</f>
        <v>0</v>
      </c>
    </row>
    <row r="42" spans="2:10" x14ac:dyDescent="0.25">
      <c r="F42" s="1">
        <f>F40+F41</f>
        <v>0</v>
      </c>
    </row>
  </sheetData>
  <pageMargins left="0.7" right="0.7" top="0.75" bottom="0.75" header="0.3" footer="0.3"/>
  <pageSetup orientation="portrait" r:id="rId1"/>
  <headerFooter>
    <oddFooter>&amp;L&amp;"Times New Roman,Regular"&amp;9 1863330v.1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4" workbookViewId="0">
      <selection activeCell="D20" sqref="D20"/>
    </sheetView>
  </sheetViews>
  <sheetFormatPr defaultRowHeight="15" x14ac:dyDescent="0.25"/>
  <cols>
    <col min="2" max="2" width="39.7109375" style="4" customWidth="1"/>
    <col min="4" max="4" width="12.42578125" customWidth="1"/>
    <col min="5" max="5" width="11.42578125" style="13" customWidth="1"/>
  </cols>
  <sheetData>
    <row r="1" spans="1:5" x14ac:dyDescent="0.25">
      <c r="A1" t="s">
        <v>185</v>
      </c>
    </row>
    <row r="4" spans="1:5" ht="45" x14ac:dyDescent="0.25">
      <c r="D4" s="17" t="s">
        <v>223</v>
      </c>
      <c r="E4" s="69" t="s">
        <v>222</v>
      </c>
    </row>
    <row r="5" spans="1:5" ht="30" x14ac:dyDescent="0.25">
      <c r="B5" s="4" t="s">
        <v>182</v>
      </c>
      <c r="D5" s="13">
        <f>Interview!F34</f>
        <v>0</v>
      </c>
      <c r="E5" s="13">
        <f>+D5</f>
        <v>0</v>
      </c>
    </row>
    <row r="7" spans="1:5" ht="30" x14ac:dyDescent="0.25">
      <c r="B7" s="4" t="s">
        <v>183</v>
      </c>
      <c r="D7" s="13">
        <f>Interview!F36</f>
        <v>0</v>
      </c>
      <c r="E7" s="13">
        <f>+D7</f>
        <v>0</v>
      </c>
    </row>
    <row r="9" spans="1:5" ht="30" x14ac:dyDescent="0.25">
      <c r="B9" s="4" t="s">
        <v>184</v>
      </c>
      <c r="D9" s="13">
        <f>Interview!F37</f>
        <v>0</v>
      </c>
      <c r="E9" s="13">
        <f>+D9</f>
        <v>0</v>
      </c>
    </row>
    <row r="10" spans="1:5" x14ac:dyDescent="0.25">
      <c r="D10" s="13"/>
    </row>
    <row r="11" spans="1:5" x14ac:dyDescent="0.25">
      <c r="B11" s="4" t="s">
        <v>221</v>
      </c>
      <c r="D11" s="13">
        <f>D7-D9</f>
        <v>0</v>
      </c>
      <c r="E11" s="13">
        <f>E7-E9</f>
        <v>0</v>
      </c>
    </row>
    <row r="12" spans="1:5" x14ac:dyDescent="0.25">
      <c r="D12" s="13"/>
    </row>
    <row r="13" spans="1:5" ht="30" x14ac:dyDescent="0.25">
      <c r="B13" s="4" t="s">
        <v>259</v>
      </c>
      <c r="D13" s="13">
        <f>IF(D11&gt;1000000,1000000,D11)</f>
        <v>0</v>
      </c>
      <c r="E13" s="13">
        <f>IF(E11&gt;500000,500000,E11)</f>
        <v>0</v>
      </c>
    </row>
    <row r="14" spans="1:5" x14ac:dyDescent="0.25">
      <c r="D14" s="13"/>
    </row>
    <row r="15" spans="1:5" ht="60" x14ac:dyDescent="0.25">
      <c r="B15" s="4" t="s">
        <v>224</v>
      </c>
      <c r="D15" s="13">
        <f>IF(D13&lt;750000,750000,D13)</f>
        <v>750000</v>
      </c>
      <c r="E15" s="13">
        <f>IF(E13&lt;375000,375000,E13)</f>
        <v>375000</v>
      </c>
    </row>
    <row r="17" spans="1:6" ht="30" x14ac:dyDescent="0.25">
      <c r="B17" s="4" t="s">
        <v>261</v>
      </c>
      <c r="D17" s="13">
        <f>Interview!F38</f>
        <v>0</v>
      </c>
      <c r="E17" s="13">
        <f>Interview!F38</f>
        <v>0</v>
      </c>
    </row>
    <row r="20" spans="1:6" x14ac:dyDescent="0.25">
      <c r="B20" s="353" t="s">
        <v>258</v>
      </c>
      <c r="C20" s="354"/>
      <c r="D20" s="352">
        <f>IF($D$11&gt;10000000,0,IF($D$13+$D$9&lt;750001,0,($D$13+$D$9-$D$15)/$D$9*$D$17))</f>
        <v>0</v>
      </c>
      <c r="E20" s="184">
        <f>IF($E$7-$E$9&gt;500000,0,IF($E$13+$E$9&lt;375001,0,($E$13+$E$9-$E$15)/$E$9*$E$17))</f>
        <v>0</v>
      </c>
    </row>
    <row r="21" spans="1:6" x14ac:dyDescent="0.25">
      <c r="D21" s="13"/>
    </row>
    <row r="22" spans="1:6" x14ac:dyDescent="0.25">
      <c r="A22" s="2"/>
      <c r="B22" s="240"/>
      <c r="C22" s="2"/>
      <c r="D22" s="23"/>
      <c r="E22" s="23"/>
      <c r="F22" s="2"/>
    </row>
    <row r="23" spans="1:6" x14ac:dyDescent="0.25">
      <c r="A23" s="2"/>
      <c r="B23" s="240"/>
      <c r="C23" s="2"/>
      <c r="D23" s="2"/>
      <c r="E23" s="23"/>
      <c r="F23" s="2"/>
    </row>
    <row r="24" spans="1:6" x14ac:dyDescent="0.25">
      <c r="B24" s="240"/>
      <c r="C24" s="2"/>
      <c r="D24" s="23"/>
      <c r="E24" s="23"/>
      <c r="F24" s="2"/>
    </row>
    <row r="25" spans="1:6" x14ac:dyDescent="0.25">
      <c r="B25" s="240"/>
      <c r="C25" s="2"/>
      <c r="D25" s="2"/>
      <c r="E25" s="23"/>
      <c r="F25" s="2"/>
    </row>
    <row r="26" spans="1:6" x14ac:dyDescent="0.25">
      <c r="B26" s="240"/>
      <c r="C26" s="2"/>
      <c r="D26" s="23"/>
      <c r="E26" s="23"/>
      <c r="F26" s="2"/>
    </row>
  </sheetData>
  <pageMargins left="0.7" right="0.7" top="0.75" bottom="0.75" header="0.3" footer="0.3"/>
  <pageSetup orientation="portrait" r:id="rId1"/>
  <headerFooter>
    <oddFooter>&amp;L&amp;"Times New Roman,Regular"&amp;9 1863330v.1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workbookViewId="0">
      <selection activeCell="C10" sqref="C10"/>
    </sheetView>
  </sheetViews>
  <sheetFormatPr defaultRowHeight="15" x14ac:dyDescent="0.25"/>
  <cols>
    <col min="2" max="2" width="28.7109375" customWidth="1"/>
    <col min="3" max="3" width="14.140625" style="13" customWidth="1"/>
  </cols>
  <sheetData>
    <row r="1" spans="2:7" ht="30" x14ac:dyDescent="0.25">
      <c r="B1" s="183" t="s">
        <v>61</v>
      </c>
      <c r="C1" s="69" t="str">
        <f>Interview!E17</f>
        <v>Not Selected</v>
      </c>
    </row>
    <row r="2" spans="2:7" x14ac:dyDescent="0.25">
      <c r="B2" s="1" t="s">
        <v>58</v>
      </c>
      <c r="C2" s="184">
        <f>Interview!F76</f>
        <v>0</v>
      </c>
      <c r="D2" s="8"/>
      <c r="E2" s="8"/>
      <c r="F2" s="8"/>
      <c r="G2" s="8"/>
    </row>
    <row r="3" spans="2:7" x14ac:dyDescent="0.25">
      <c r="B3" s="1" t="s">
        <v>63</v>
      </c>
      <c r="C3" s="184">
        <f>$C$2*2000</f>
        <v>0</v>
      </c>
      <c r="D3" s="8"/>
      <c r="E3" s="8"/>
      <c r="F3" s="8"/>
      <c r="G3" s="8"/>
    </row>
    <row r="4" spans="2:7" x14ac:dyDescent="0.25">
      <c r="B4" s="1" t="s">
        <v>59</v>
      </c>
      <c r="C4" s="184">
        <f>'Report of Adjustments'!E9</f>
        <v>0</v>
      </c>
      <c r="D4" s="8"/>
      <c r="E4" s="8"/>
      <c r="F4" s="8"/>
      <c r="G4" s="8"/>
    </row>
    <row r="5" spans="2:7" x14ac:dyDescent="0.25">
      <c r="B5" s="1" t="s">
        <v>60</v>
      </c>
      <c r="C5" s="184">
        <f>IF($C$1="Married Filing Jointly",400000,200000)</f>
        <v>200000</v>
      </c>
      <c r="D5" s="8">
        <f>IF(C5&gt;C4,0,(C5-C4)/1000)</f>
        <v>0</v>
      </c>
      <c r="E5" s="8">
        <f>D5*1000</f>
        <v>0</v>
      </c>
      <c r="F5" s="8">
        <f>-(E5*0.05)</f>
        <v>0</v>
      </c>
      <c r="G5" s="8"/>
    </row>
    <row r="6" spans="2:7" x14ac:dyDescent="0.25">
      <c r="B6" s="1" t="s">
        <v>62</v>
      </c>
      <c r="C6" s="184">
        <f>IF($C$4&gt;$C$5,$C$3,$D$5)</f>
        <v>0</v>
      </c>
      <c r="D6" s="8"/>
      <c r="E6" s="8"/>
      <c r="F6" s="8"/>
      <c r="G6" s="8"/>
    </row>
    <row r="7" spans="2:7" x14ac:dyDescent="0.25">
      <c r="B7" s="1" t="s">
        <v>64</v>
      </c>
      <c r="C7" s="184">
        <f>IF($C$3&lt;$F$5,0,$C$3-$F$5)</f>
        <v>0</v>
      </c>
      <c r="D7" s="8"/>
      <c r="E7" s="8"/>
      <c r="F7" s="8"/>
      <c r="G7" s="8"/>
    </row>
    <row r="8" spans="2:7" x14ac:dyDescent="0.25">
      <c r="B8" s="1"/>
      <c r="C8" s="184"/>
      <c r="D8" s="8"/>
      <c r="E8" s="8"/>
      <c r="F8" s="8"/>
      <c r="G8" s="8"/>
    </row>
    <row r="9" spans="2:7" x14ac:dyDescent="0.25">
      <c r="B9" s="1" t="s">
        <v>71</v>
      </c>
      <c r="C9" s="184" t="b">
        <f>'Report of Adjustments'!E33</f>
        <v>0</v>
      </c>
      <c r="D9" s="8"/>
      <c r="E9" s="8"/>
      <c r="F9" s="8"/>
      <c r="G9" s="8"/>
    </row>
    <row r="10" spans="2:7" x14ac:dyDescent="0.25">
      <c r="B10" s="1" t="s">
        <v>70</v>
      </c>
      <c r="C10" s="33">
        <f>Interview!F77+Interview!F78+Interview!F79+Interview!F80+Interview!F81</f>
        <v>0</v>
      </c>
      <c r="D10" s="8"/>
      <c r="E10" s="8"/>
      <c r="F10" s="8"/>
      <c r="G10" s="8"/>
    </row>
    <row r="11" spans="2:7" x14ac:dyDescent="0.25">
      <c r="B11" s="1"/>
      <c r="C11" s="184"/>
      <c r="D11" s="8"/>
      <c r="E11" s="8"/>
      <c r="F11" s="8"/>
      <c r="G11" s="8"/>
    </row>
    <row r="12" spans="2:7" x14ac:dyDescent="0.25">
      <c r="B12" s="1" t="s">
        <v>72</v>
      </c>
      <c r="C12" s="184">
        <f>IF(C9-C10&lt;1,0,C9-C10)</f>
        <v>0</v>
      </c>
      <c r="D12" s="8"/>
      <c r="E12" s="8"/>
      <c r="F12" s="8"/>
      <c r="G12" s="8"/>
    </row>
    <row r="13" spans="2:7" x14ac:dyDescent="0.25">
      <c r="B13" s="68" t="s">
        <v>177</v>
      </c>
      <c r="C13" s="193">
        <f>IF(C7&lt;C12,C7,C12)</f>
        <v>0</v>
      </c>
      <c r="D13" s="8"/>
      <c r="E13" s="8"/>
      <c r="F13" s="8"/>
      <c r="G13" s="8"/>
    </row>
    <row r="14" spans="2:7" x14ac:dyDescent="0.25">
      <c r="C14" s="8"/>
      <c r="D14" s="8"/>
      <c r="E14" s="8"/>
      <c r="F14" s="8"/>
      <c r="G14" s="8"/>
    </row>
    <row r="15" spans="2:7" x14ac:dyDescent="0.25">
      <c r="B15" s="1" t="s">
        <v>209</v>
      </c>
      <c r="C15" s="33">
        <f>Interview!F75</f>
        <v>0</v>
      </c>
    </row>
    <row r="17" spans="2:3" x14ac:dyDescent="0.25">
      <c r="B17" s="1" t="s">
        <v>210</v>
      </c>
      <c r="C17" s="33">
        <f>C13-C15</f>
        <v>0</v>
      </c>
    </row>
  </sheetData>
  <pageMargins left="0.7" right="0.7" top="0.75" bottom="0.75" header="0.3" footer="0.3"/>
  <pageSetup orientation="portrait" r:id="rId1"/>
  <headerFooter>
    <oddFooter>&amp;L&amp;"Times New Roman,Regular"&amp;9 1863330v.1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topLeftCell="A76" workbookViewId="0">
      <selection activeCell="I74" sqref="I74"/>
    </sheetView>
  </sheetViews>
  <sheetFormatPr defaultRowHeight="15" x14ac:dyDescent="0.25"/>
  <cols>
    <col min="1" max="1" width="12.140625" customWidth="1"/>
    <col min="2" max="2" width="27.140625" customWidth="1"/>
    <col min="3" max="3" width="18" customWidth="1"/>
    <col min="4" max="4" width="3.28515625" customWidth="1"/>
    <col min="5" max="8" width="26.7109375" customWidth="1"/>
  </cols>
  <sheetData>
    <row r="1" spans="1:8" ht="15.75" thickBot="1" x14ac:dyDescent="0.3"/>
    <row r="2" spans="1:8" ht="15.75" thickBot="1" x14ac:dyDescent="0.3">
      <c r="A2" s="129" t="s">
        <v>151</v>
      </c>
      <c r="B2" s="130"/>
      <c r="C2" s="131"/>
    </row>
    <row r="3" spans="1:8" x14ac:dyDescent="0.25">
      <c r="B3" s="154" t="s">
        <v>159</v>
      </c>
      <c r="C3" s="155"/>
      <c r="E3" s="310"/>
      <c r="F3" s="310"/>
      <c r="G3" s="310"/>
    </row>
    <row r="4" spans="1:8" x14ac:dyDescent="0.25">
      <c r="B4" s="156" t="s">
        <v>102</v>
      </c>
      <c r="C4" s="185">
        <f>'Report of Adjustments'!E29</f>
        <v>0</v>
      </c>
      <c r="E4" s="158"/>
      <c r="F4" s="67"/>
      <c r="G4" s="67"/>
    </row>
    <row r="5" spans="1:8" x14ac:dyDescent="0.25">
      <c r="B5" s="156" t="s">
        <v>152</v>
      </c>
      <c r="C5" s="186">
        <f>Interview!F59</f>
        <v>0</v>
      </c>
      <c r="E5" s="158"/>
      <c r="F5" s="67"/>
      <c r="G5" s="67"/>
    </row>
    <row r="6" spans="1:8" x14ac:dyDescent="0.25">
      <c r="B6" s="156" t="s">
        <v>153</v>
      </c>
      <c r="C6" s="185">
        <f>Interview!F60</f>
        <v>0</v>
      </c>
      <c r="E6" s="157"/>
    </row>
    <row r="7" spans="1:8" x14ac:dyDescent="0.25">
      <c r="B7" s="156" t="s">
        <v>155</v>
      </c>
      <c r="C7" s="187">
        <f>Interview!F61</f>
        <v>0</v>
      </c>
      <c r="E7" s="58"/>
      <c r="F7" s="58"/>
      <c r="G7" s="58"/>
    </row>
    <row r="8" spans="1:8" x14ac:dyDescent="0.25">
      <c r="B8" s="156" t="s">
        <v>156</v>
      </c>
      <c r="C8" s="187">
        <f>Interview!F64</f>
        <v>0</v>
      </c>
      <c r="E8" s="118"/>
      <c r="F8" s="118"/>
      <c r="G8" s="118"/>
    </row>
    <row r="9" spans="1:8" x14ac:dyDescent="0.25">
      <c r="B9" s="156" t="s">
        <v>157</v>
      </c>
      <c r="C9" s="185">
        <f>Interview!F63</f>
        <v>0</v>
      </c>
      <c r="E9" s="158"/>
      <c r="F9" s="67"/>
      <c r="G9" s="67"/>
    </row>
    <row r="10" spans="1:8" x14ac:dyDescent="0.25">
      <c r="B10" s="156" t="s">
        <v>158</v>
      </c>
      <c r="C10" s="185">
        <f>Interview!F65</f>
        <v>0</v>
      </c>
      <c r="E10" s="278" t="s">
        <v>234</v>
      </c>
      <c r="F10" s="279" t="s">
        <v>235</v>
      </c>
      <c r="G10" s="58"/>
    </row>
    <row r="11" spans="1:8" x14ac:dyDescent="0.25">
      <c r="A11" s="2"/>
      <c r="B11" s="156" t="s">
        <v>160</v>
      </c>
      <c r="C11" s="185" t="s">
        <v>236</v>
      </c>
      <c r="E11" s="273">
        <f>Interview!F67</f>
        <v>0</v>
      </c>
      <c r="F11" s="274">
        <f>Interview!F70</f>
        <v>0</v>
      </c>
      <c r="G11" s="58"/>
    </row>
    <row r="12" spans="1:8" x14ac:dyDescent="0.25">
      <c r="A12" s="2"/>
      <c r="B12" s="163" t="s">
        <v>161</v>
      </c>
      <c r="C12" s="186" t="s">
        <v>236</v>
      </c>
      <c r="E12" s="275">
        <f>Interview!F68</f>
        <v>0</v>
      </c>
      <c r="F12" s="33">
        <f>Interview!F71</f>
        <v>0</v>
      </c>
    </row>
    <row r="13" spans="1:8" x14ac:dyDescent="0.25">
      <c r="A13" s="2"/>
      <c r="B13" s="156" t="s">
        <v>208</v>
      </c>
      <c r="C13" s="229" t="s">
        <v>236</v>
      </c>
      <c r="E13" s="276">
        <f>Interview!F69</f>
        <v>0</v>
      </c>
      <c r="F13" s="277">
        <f>Interview!F72</f>
        <v>0</v>
      </c>
    </row>
    <row r="14" spans="1:8" ht="15.75" thickBot="1" x14ac:dyDescent="0.3">
      <c r="A14" s="2"/>
      <c r="B14" s="227" t="s">
        <v>61</v>
      </c>
      <c r="C14" s="228" t="str">
        <f>Interview!E17</f>
        <v>Not Selected</v>
      </c>
    </row>
    <row r="15" spans="1:8" x14ac:dyDescent="0.25">
      <c r="A15" s="2"/>
      <c r="B15" s="2"/>
      <c r="C15" s="2"/>
    </row>
    <row r="16" spans="1:8" ht="15.75" thickBot="1" x14ac:dyDescent="0.3">
      <c r="A16" s="2"/>
      <c r="B16" s="2"/>
      <c r="C16" s="2"/>
      <c r="E16" s="281"/>
      <c r="F16" s="281"/>
      <c r="G16" s="281"/>
      <c r="H16" s="281"/>
    </row>
    <row r="17" spans="1:8" ht="15.75" thickBot="1" x14ac:dyDescent="0.3">
      <c r="A17" s="81" t="s">
        <v>121</v>
      </c>
      <c r="B17" s="82"/>
      <c r="C17" s="83"/>
      <c r="E17" s="117"/>
      <c r="F17" s="117"/>
      <c r="G17" s="117"/>
      <c r="H17" s="117"/>
    </row>
    <row r="18" spans="1:8" ht="30.75" thickBot="1" x14ac:dyDescent="0.3">
      <c r="A18" s="73" t="s">
        <v>133</v>
      </c>
      <c r="B18" s="74" t="s">
        <v>112</v>
      </c>
      <c r="C18" s="357">
        <f>IF(Interview!E17="married filing jointly",F46+F63,G46+G63)</f>
        <v>0</v>
      </c>
      <c r="E18" s="67"/>
      <c r="F18" s="282"/>
      <c r="G18" s="67"/>
      <c r="H18" s="282"/>
    </row>
    <row r="19" spans="1:8" x14ac:dyDescent="0.25">
      <c r="A19" s="76"/>
      <c r="B19" s="76"/>
      <c r="C19" s="149"/>
      <c r="E19" s="119"/>
      <c r="F19" s="67"/>
      <c r="G19" s="119"/>
      <c r="H19" s="67"/>
    </row>
    <row r="20" spans="1:8" ht="30" x14ac:dyDescent="0.25">
      <c r="A20" s="76"/>
      <c r="B20" s="77" t="s">
        <v>113</v>
      </c>
      <c r="C20" s="150">
        <f>+C4</f>
        <v>0</v>
      </c>
      <c r="E20" s="67"/>
      <c r="F20" s="67"/>
      <c r="G20" s="67"/>
      <c r="H20" s="67"/>
    </row>
    <row r="21" spans="1:8" x14ac:dyDescent="0.25">
      <c r="A21" s="76"/>
      <c r="B21" s="77" t="s">
        <v>114</v>
      </c>
      <c r="C21" s="150"/>
      <c r="E21" s="67"/>
      <c r="F21" s="67"/>
      <c r="G21" s="67"/>
      <c r="H21" s="67"/>
    </row>
    <row r="22" spans="1:8" x14ac:dyDescent="0.25">
      <c r="A22" s="76"/>
      <c r="B22" s="77" t="s">
        <v>115</v>
      </c>
      <c r="C22" s="150">
        <f>+C7</f>
        <v>0</v>
      </c>
      <c r="E22" s="67"/>
      <c r="F22" s="67"/>
      <c r="G22" s="67"/>
      <c r="H22" s="67"/>
    </row>
    <row r="23" spans="1:8" ht="45" x14ac:dyDescent="0.25">
      <c r="A23" s="76"/>
      <c r="B23" s="77" t="s">
        <v>116</v>
      </c>
      <c r="C23" s="150">
        <f>+C8</f>
        <v>0</v>
      </c>
      <c r="E23" s="67"/>
      <c r="F23" s="67"/>
      <c r="G23" s="67"/>
      <c r="H23" s="67"/>
    </row>
    <row r="24" spans="1:8" x14ac:dyDescent="0.25">
      <c r="A24" s="76"/>
      <c r="B24" s="77" t="s">
        <v>53</v>
      </c>
      <c r="C24" s="150">
        <f>C20-C22-C23</f>
        <v>0</v>
      </c>
      <c r="E24" s="67"/>
      <c r="F24" s="67"/>
      <c r="G24" s="67"/>
      <c r="H24" s="67"/>
    </row>
    <row r="25" spans="1:8" x14ac:dyDescent="0.25">
      <c r="A25" s="73" t="s">
        <v>134</v>
      </c>
      <c r="B25" s="78">
        <v>0.2</v>
      </c>
      <c r="C25" s="150">
        <f>0.2*C24</f>
        <v>0</v>
      </c>
      <c r="E25" s="67"/>
      <c r="F25" s="67"/>
      <c r="G25" s="67"/>
      <c r="H25" s="67"/>
    </row>
    <row r="26" spans="1:8" x14ac:dyDescent="0.25">
      <c r="A26" s="76"/>
      <c r="B26" s="77"/>
      <c r="C26" s="149"/>
      <c r="E26" s="67"/>
      <c r="F26" s="67"/>
      <c r="G26" s="67"/>
      <c r="H26" s="67"/>
    </row>
    <row r="27" spans="1:8" x14ac:dyDescent="0.25">
      <c r="A27" s="76"/>
      <c r="B27" s="77" t="s">
        <v>227</v>
      </c>
      <c r="C27" s="356">
        <f>IF(C18&lt;C25,C18,C25)</f>
        <v>0</v>
      </c>
      <c r="E27" s="67"/>
      <c r="F27" s="67"/>
      <c r="G27" s="67"/>
      <c r="H27" s="67"/>
    </row>
    <row r="28" spans="1:8" x14ac:dyDescent="0.25">
      <c r="A28" s="84" t="s">
        <v>120</v>
      </c>
      <c r="B28" s="85"/>
      <c r="C28" s="151"/>
      <c r="E28" s="283"/>
      <c r="F28" s="284"/>
      <c r="G28" s="283"/>
      <c r="H28" s="284"/>
    </row>
    <row r="29" spans="1:8" ht="45" x14ac:dyDescent="0.25">
      <c r="A29" s="76"/>
      <c r="B29" s="79" t="s">
        <v>118</v>
      </c>
      <c r="C29" s="150">
        <f>+C8</f>
        <v>0</v>
      </c>
      <c r="E29" s="67"/>
      <c r="F29" s="67"/>
      <c r="G29" s="67"/>
      <c r="H29" s="67"/>
    </row>
    <row r="30" spans="1:8" x14ac:dyDescent="0.25">
      <c r="A30" s="73" t="s">
        <v>135</v>
      </c>
      <c r="B30" s="80">
        <v>0.2</v>
      </c>
      <c r="C30" s="150">
        <f>0.2*C29</f>
        <v>0</v>
      </c>
      <c r="E30" s="67"/>
      <c r="F30" s="67"/>
      <c r="G30" s="67"/>
      <c r="H30" s="67"/>
    </row>
    <row r="31" spans="1:8" x14ac:dyDescent="0.25">
      <c r="A31" s="73"/>
      <c r="B31" s="79" t="s">
        <v>102</v>
      </c>
      <c r="C31" s="150">
        <f>+C4</f>
        <v>0</v>
      </c>
      <c r="E31" s="67"/>
      <c r="F31" s="67"/>
      <c r="G31" s="67"/>
      <c r="H31" s="67"/>
    </row>
    <row r="32" spans="1:8" x14ac:dyDescent="0.25">
      <c r="A32" s="73"/>
      <c r="B32" s="79" t="s">
        <v>119</v>
      </c>
      <c r="C32" s="150">
        <f>+C7</f>
        <v>0</v>
      </c>
      <c r="E32" s="67"/>
      <c r="F32" s="67"/>
      <c r="G32" s="67"/>
      <c r="H32" s="67"/>
    </row>
    <row r="33" spans="1:10" x14ac:dyDescent="0.25">
      <c r="A33" s="73" t="s">
        <v>136</v>
      </c>
      <c r="B33" s="75"/>
      <c r="C33" s="150">
        <f>C31-C32</f>
        <v>0</v>
      </c>
      <c r="E33" s="67"/>
      <c r="F33" s="67"/>
      <c r="G33" s="67"/>
      <c r="H33" s="67"/>
    </row>
    <row r="34" spans="1:10" x14ac:dyDescent="0.25">
      <c r="A34" s="76"/>
      <c r="B34" s="79" t="s">
        <v>228</v>
      </c>
      <c r="C34" s="150">
        <f>IF(C30&lt;C33,C30,C33)</f>
        <v>0</v>
      </c>
      <c r="E34" s="67"/>
      <c r="F34" s="67"/>
      <c r="G34" s="67"/>
      <c r="H34" s="67"/>
    </row>
    <row r="35" spans="1:10" x14ac:dyDescent="0.25">
      <c r="A35" s="89" t="s">
        <v>139</v>
      </c>
      <c r="B35" s="90"/>
      <c r="C35" s="358">
        <f>C34+C27</f>
        <v>0</v>
      </c>
      <c r="E35" s="67"/>
      <c r="F35" s="67"/>
      <c r="G35" s="67"/>
      <c r="H35" s="67"/>
    </row>
    <row r="36" spans="1:10" ht="30.75" thickBot="1" x14ac:dyDescent="0.3">
      <c r="A36" s="359" t="s">
        <v>138</v>
      </c>
      <c r="B36" s="360"/>
      <c r="C36" s="152"/>
      <c r="E36" s="67"/>
      <c r="F36" s="67"/>
      <c r="G36" s="67"/>
      <c r="H36" s="67"/>
    </row>
    <row r="37" spans="1:10" ht="15.75" thickBot="1" x14ac:dyDescent="0.3">
      <c r="A37" s="361" t="s">
        <v>137</v>
      </c>
      <c r="B37" s="362"/>
      <c r="C37" s="153">
        <f>IF(C35&lt;C33,C35,C33)</f>
        <v>0</v>
      </c>
      <c r="E37" s="270"/>
      <c r="F37" s="270"/>
      <c r="G37" s="270"/>
      <c r="H37" s="270"/>
    </row>
    <row r="38" spans="1:10" ht="15.75" thickBot="1" x14ac:dyDescent="0.3">
      <c r="E38" s="58"/>
      <c r="F38" s="58"/>
      <c r="G38" s="58"/>
      <c r="H38" s="58"/>
    </row>
    <row r="39" spans="1:10" ht="15.75" thickBot="1" x14ac:dyDescent="0.3">
      <c r="A39" s="114" t="s">
        <v>149</v>
      </c>
      <c r="B39" s="115"/>
      <c r="C39" s="115"/>
      <c r="D39" s="58"/>
      <c r="E39" s="2"/>
      <c r="F39" s="164"/>
      <c r="G39" s="164"/>
    </row>
    <row r="40" spans="1:10" x14ac:dyDescent="0.25">
      <c r="A40" s="127" t="s">
        <v>122</v>
      </c>
      <c r="B40" s="128"/>
      <c r="C40" s="128"/>
      <c r="D40" s="158"/>
      <c r="E40" s="376" t="s">
        <v>142</v>
      </c>
      <c r="F40" s="296" t="s">
        <v>163</v>
      </c>
      <c r="G40" s="297" t="s">
        <v>237</v>
      </c>
    </row>
    <row r="41" spans="1:10" x14ac:dyDescent="0.25">
      <c r="A41" s="96" t="s">
        <v>140</v>
      </c>
      <c r="B41" s="87" t="s">
        <v>129</v>
      </c>
      <c r="C41" s="142">
        <f>IF(Interview!$E$17="Married Filing Jointly",C58,C59)</f>
        <v>0</v>
      </c>
      <c r="D41" s="159"/>
      <c r="E41" s="285"/>
      <c r="F41" s="286">
        <f>C41-F55</f>
        <v>0</v>
      </c>
      <c r="G41" s="287">
        <f>C41-G55</f>
        <v>0</v>
      </c>
    </row>
    <row r="42" spans="1:10" x14ac:dyDescent="0.25">
      <c r="A42" s="97" t="s">
        <v>141</v>
      </c>
      <c r="B42" s="95" t="s">
        <v>105</v>
      </c>
      <c r="C42" s="132">
        <f>+$C$9</f>
        <v>0</v>
      </c>
      <c r="D42" s="159"/>
      <c r="E42" s="285"/>
      <c r="F42" s="132">
        <f t="shared" ref="F42:G42" si="0">+$C$9</f>
        <v>0</v>
      </c>
      <c r="G42" s="143">
        <f t="shared" si="0"/>
        <v>0</v>
      </c>
    </row>
    <row r="43" spans="1:10" ht="30" x14ac:dyDescent="0.25">
      <c r="A43" s="97"/>
      <c r="B43" s="91" t="s">
        <v>123</v>
      </c>
      <c r="C43" s="133">
        <f>+$C$10</f>
        <v>0</v>
      </c>
      <c r="D43" s="160"/>
      <c r="E43" s="285"/>
      <c r="F43" s="133">
        <f t="shared" ref="F43:G43" si="1">+$C$10</f>
        <v>0</v>
      </c>
      <c r="G43" s="144">
        <f t="shared" si="1"/>
        <v>0</v>
      </c>
    </row>
    <row r="44" spans="1:10" x14ac:dyDescent="0.25">
      <c r="A44" s="97"/>
      <c r="B44" s="91" t="s">
        <v>131</v>
      </c>
      <c r="C44" s="133">
        <f>C43+C42</f>
        <v>0</v>
      </c>
      <c r="D44" s="159"/>
      <c r="E44" s="285"/>
      <c r="F44" s="133">
        <f t="shared" ref="F44:G44" si="2">F43+F42</f>
        <v>0</v>
      </c>
      <c r="G44" s="144">
        <f t="shared" si="2"/>
        <v>0</v>
      </c>
    </row>
    <row r="45" spans="1:10" x14ac:dyDescent="0.25">
      <c r="A45" s="97"/>
      <c r="B45" s="92">
        <v>0.2</v>
      </c>
      <c r="C45" s="134">
        <f>0.2*C44</f>
        <v>0</v>
      </c>
      <c r="D45" s="159"/>
      <c r="E45" s="285"/>
      <c r="F45" s="134">
        <f t="shared" ref="F45:G45" si="3">0.2*F44</f>
        <v>0</v>
      </c>
      <c r="G45" s="145">
        <f t="shared" si="3"/>
        <v>0</v>
      </c>
      <c r="H45" s="58"/>
      <c r="I45" s="58"/>
      <c r="J45" s="58"/>
    </row>
    <row r="46" spans="1:10" x14ac:dyDescent="0.25">
      <c r="A46" s="98"/>
      <c r="B46" s="126" t="s">
        <v>142</v>
      </c>
      <c r="C46" s="135">
        <f>C41+C45</f>
        <v>0</v>
      </c>
      <c r="D46" s="161"/>
      <c r="E46" s="285"/>
      <c r="F46" s="135">
        <f t="shared" ref="F46:G46" si="4">F41+F45</f>
        <v>0</v>
      </c>
      <c r="G46" s="146">
        <f t="shared" si="4"/>
        <v>0</v>
      </c>
      <c r="H46" s="58"/>
      <c r="I46" s="58"/>
      <c r="J46" s="58"/>
    </row>
    <row r="47" spans="1:10" ht="15.75" thickBot="1" x14ac:dyDescent="0.3">
      <c r="A47" s="99" t="s">
        <v>130</v>
      </c>
      <c r="B47" s="100"/>
      <c r="C47" s="136"/>
      <c r="D47" s="159"/>
      <c r="E47" s="298"/>
      <c r="F47" s="299"/>
      <c r="G47" s="300"/>
      <c r="H47" s="280"/>
      <c r="I47" s="58"/>
      <c r="J47" s="58"/>
    </row>
    <row r="48" spans="1:10" ht="45" x14ac:dyDescent="0.25">
      <c r="A48" s="101"/>
      <c r="B48" s="102" t="s">
        <v>154</v>
      </c>
      <c r="C48" s="137">
        <f>+C5</f>
        <v>0</v>
      </c>
      <c r="D48" s="160"/>
      <c r="E48" s="301"/>
      <c r="F48" s="302"/>
      <c r="G48" s="303"/>
      <c r="H48" s="119"/>
      <c r="I48" s="58"/>
      <c r="J48" s="58"/>
    </row>
    <row r="49" spans="1:10" ht="15.75" thickBot="1" x14ac:dyDescent="0.3">
      <c r="A49" s="107" t="s">
        <v>143</v>
      </c>
      <c r="B49" s="104" t="s">
        <v>132</v>
      </c>
      <c r="C49" s="138">
        <f>0.2*C48</f>
        <v>0</v>
      </c>
      <c r="D49" s="159"/>
      <c r="E49" s="304"/>
      <c r="F49" s="305"/>
      <c r="G49" s="306"/>
      <c r="H49" s="67"/>
      <c r="I49" s="58"/>
      <c r="J49" s="58"/>
    </row>
    <row r="50" spans="1:10" x14ac:dyDescent="0.25">
      <c r="A50" s="108"/>
      <c r="B50" s="105" t="s">
        <v>124</v>
      </c>
      <c r="C50" s="132">
        <f>+E11*E13</f>
        <v>0</v>
      </c>
      <c r="D50" s="162"/>
      <c r="E50" s="285"/>
      <c r="F50" s="288"/>
      <c r="G50" s="289"/>
      <c r="H50" s="58"/>
      <c r="I50" s="58"/>
      <c r="J50" s="58"/>
    </row>
    <row r="51" spans="1:10" x14ac:dyDescent="0.25">
      <c r="A51" s="109" t="s">
        <v>144</v>
      </c>
      <c r="B51" s="106" t="s">
        <v>125</v>
      </c>
      <c r="C51" s="133">
        <f>0.5*C50</f>
        <v>0</v>
      </c>
      <c r="D51" s="162"/>
      <c r="E51" s="285"/>
      <c r="F51" s="288"/>
      <c r="G51" s="289"/>
      <c r="H51" s="58"/>
      <c r="I51" s="58"/>
      <c r="J51" s="58"/>
    </row>
    <row r="52" spans="1:10" x14ac:dyDescent="0.25">
      <c r="A52" s="110"/>
      <c r="B52" s="88" t="s">
        <v>126</v>
      </c>
      <c r="C52" s="139">
        <f>0.25*C50</f>
        <v>0</v>
      </c>
      <c r="E52" s="285"/>
      <c r="F52" s="288"/>
      <c r="G52" s="289"/>
    </row>
    <row r="53" spans="1:10" ht="60" x14ac:dyDescent="0.25">
      <c r="A53" s="111"/>
      <c r="B53" s="88" t="s">
        <v>128</v>
      </c>
      <c r="C53" s="139">
        <f>+E12*E13</f>
        <v>0</v>
      </c>
      <c r="E53" s="285"/>
      <c r="F53" s="288"/>
      <c r="G53" s="289"/>
    </row>
    <row r="54" spans="1:10" x14ac:dyDescent="0.25">
      <c r="A54" s="112" t="s">
        <v>145</v>
      </c>
      <c r="B54" s="88" t="s">
        <v>127</v>
      </c>
      <c r="C54" s="139">
        <f>0.025*C53</f>
        <v>0</v>
      </c>
      <c r="E54" s="285"/>
      <c r="F54" s="290" t="s">
        <v>163</v>
      </c>
      <c r="G54" s="291" t="s">
        <v>237</v>
      </c>
    </row>
    <row r="55" spans="1:10" x14ac:dyDescent="0.25">
      <c r="A55" s="111"/>
      <c r="B55" s="86" t="s">
        <v>211</v>
      </c>
      <c r="C55" s="140">
        <f>C52+C54</f>
        <v>0</v>
      </c>
      <c r="E55" s="292" t="s">
        <v>262</v>
      </c>
      <c r="F55" s="139">
        <f>IF($C$4&lt;315001,0,IF($C$4&gt;415000,0,F56*($C$4-315000)/100000))</f>
        <v>0</v>
      </c>
      <c r="G55" s="142">
        <f>IF($C$4&lt;157501,0,IF($C$4&gt;207500,0,G56*($C$4-157500)/50000))</f>
        <v>0</v>
      </c>
    </row>
    <row r="56" spans="1:10" ht="15.75" thickBot="1" x14ac:dyDescent="0.3">
      <c r="A56" s="111" t="s">
        <v>146</v>
      </c>
      <c r="B56" s="86" t="s">
        <v>147</v>
      </c>
      <c r="C56" s="140">
        <f>IF(C51&gt;C54,C51,C54)</f>
        <v>0</v>
      </c>
      <c r="E56" s="292" t="s">
        <v>239</v>
      </c>
      <c r="F56" s="139">
        <f>IF(C49&gt;C56,C49-C56,0)</f>
        <v>0</v>
      </c>
      <c r="G56" s="142">
        <f>IF(C49&gt;C56,C49-C56,0)</f>
        <v>0</v>
      </c>
    </row>
    <row r="57" spans="1:10" ht="15.75" thickBot="1" x14ac:dyDescent="0.3">
      <c r="A57" s="363" t="s">
        <v>148</v>
      </c>
      <c r="B57" s="113" t="s">
        <v>117</v>
      </c>
      <c r="C57" s="141">
        <f>IF(C49&lt;C56,C49,C56)</f>
        <v>0</v>
      </c>
      <c r="E57" s="292"/>
      <c r="F57" s="293"/>
      <c r="G57" s="294"/>
    </row>
    <row r="58" spans="1:10" ht="15.75" thickBot="1" x14ac:dyDescent="0.3">
      <c r="A58" s="405" t="s">
        <v>263</v>
      </c>
      <c r="B58" s="91" t="s">
        <v>164</v>
      </c>
      <c r="C58" s="364">
        <f>IF($C$4&lt;415001,$C$49,$C$57)</f>
        <v>0</v>
      </c>
      <c r="E58" s="295"/>
      <c r="F58" s="377"/>
      <c r="G58" s="378"/>
    </row>
    <row r="59" spans="1:10" x14ac:dyDescent="0.25">
      <c r="A59" s="406"/>
      <c r="B59" s="91" t="s">
        <v>162</v>
      </c>
      <c r="C59" s="364">
        <f>IF($C$4&lt;207501,$C$49,$C$57)</f>
        <v>0</v>
      </c>
      <c r="E59" s="58"/>
      <c r="F59" s="355"/>
      <c r="G59" s="355"/>
    </row>
    <row r="60" spans="1:10" ht="15.75" thickBot="1" x14ac:dyDescent="0.3">
      <c r="E60" s="58"/>
      <c r="F60" s="58"/>
      <c r="G60" s="58"/>
    </row>
    <row r="61" spans="1:10" ht="15.75" thickBot="1" x14ac:dyDescent="0.3">
      <c r="A61" s="114" t="s">
        <v>150</v>
      </c>
      <c r="B61" s="115"/>
      <c r="C61" s="116"/>
    </row>
    <row r="62" spans="1:10" x14ac:dyDescent="0.25">
      <c r="A62" s="93" t="s">
        <v>122</v>
      </c>
      <c r="B62" s="94"/>
      <c r="C62" s="120"/>
      <c r="D62" s="58"/>
      <c r="E62" s="307" t="s">
        <v>142</v>
      </c>
      <c r="F62" s="296" t="s">
        <v>163</v>
      </c>
      <c r="G62" s="297" t="s">
        <v>237</v>
      </c>
    </row>
    <row r="63" spans="1:10" x14ac:dyDescent="0.25">
      <c r="A63" s="121" t="s">
        <v>140</v>
      </c>
      <c r="B63" s="87" t="s">
        <v>129</v>
      </c>
      <c r="C63" s="142">
        <f>IF(Interview!$E$17="Married Filing Jointly",C89,C90)</f>
        <v>0</v>
      </c>
      <c r="D63" s="58"/>
      <c r="E63" s="285"/>
      <c r="F63" s="286">
        <f>IF(C63&gt;F77,C63-F77,0)</f>
        <v>0</v>
      </c>
      <c r="G63" s="287">
        <f>IF(C63&gt;G77,C63-G77,0)</f>
        <v>0</v>
      </c>
    </row>
    <row r="64" spans="1:10" x14ac:dyDescent="0.25">
      <c r="A64" s="122" t="s">
        <v>141</v>
      </c>
      <c r="B64" s="95" t="s">
        <v>105</v>
      </c>
      <c r="C64" s="143">
        <f>+C9</f>
        <v>0</v>
      </c>
      <c r="D64" s="58"/>
      <c r="E64" s="285"/>
      <c r="F64" s="288"/>
      <c r="G64" s="289"/>
    </row>
    <row r="65" spans="1:7" ht="30" x14ac:dyDescent="0.25">
      <c r="A65" s="122"/>
      <c r="B65" s="91" t="s">
        <v>123</v>
      </c>
      <c r="C65" s="144">
        <f>+C10</f>
        <v>0</v>
      </c>
      <c r="D65" s="124"/>
      <c r="E65" s="285"/>
      <c r="F65" s="288"/>
      <c r="G65" s="289"/>
    </row>
    <row r="66" spans="1:7" x14ac:dyDescent="0.25">
      <c r="A66" s="122"/>
      <c r="B66" s="91" t="s">
        <v>131</v>
      </c>
      <c r="C66" s="144">
        <f>C65+C64</f>
        <v>0</v>
      </c>
      <c r="D66" s="58"/>
      <c r="E66" s="285"/>
      <c r="F66" s="288"/>
      <c r="G66" s="289"/>
    </row>
    <row r="67" spans="1:7" x14ac:dyDescent="0.25">
      <c r="A67" s="122"/>
      <c r="B67" s="92">
        <v>0.2</v>
      </c>
      <c r="C67" s="145">
        <f>0.2*C66</f>
        <v>0</v>
      </c>
      <c r="D67" s="58"/>
      <c r="E67" s="285"/>
      <c r="F67" s="288"/>
      <c r="G67" s="289"/>
    </row>
    <row r="68" spans="1:7" x14ac:dyDescent="0.25">
      <c r="A68" s="123"/>
      <c r="B68" s="126" t="s">
        <v>142</v>
      </c>
      <c r="C68" s="146">
        <f>C63+C67</f>
        <v>0</v>
      </c>
      <c r="D68" s="125"/>
      <c r="E68" s="285"/>
      <c r="F68" s="288"/>
      <c r="G68" s="289"/>
    </row>
    <row r="69" spans="1:7" ht="15.75" thickBot="1" x14ac:dyDescent="0.3">
      <c r="A69" s="99" t="s">
        <v>130</v>
      </c>
      <c r="B69" s="100"/>
      <c r="C69" s="147"/>
      <c r="D69" s="58"/>
      <c r="E69" s="285"/>
      <c r="F69" s="288"/>
      <c r="G69" s="289"/>
    </row>
    <row r="70" spans="1:7" ht="30" x14ac:dyDescent="0.25">
      <c r="A70" s="101"/>
      <c r="B70" s="102" t="s">
        <v>229</v>
      </c>
      <c r="C70" s="148">
        <f>+C6</f>
        <v>0</v>
      </c>
      <c r="D70" s="124"/>
      <c r="E70" s="285"/>
      <c r="F70" s="288"/>
      <c r="G70" s="289"/>
    </row>
    <row r="71" spans="1:7" ht="15.75" thickBot="1" x14ac:dyDescent="0.3">
      <c r="A71" s="103" t="s">
        <v>143</v>
      </c>
      <c r="B71" s="271" t="s">
        <v>132</v>
      </c>
      <c r="C71" s="272">
        <f>0.2*C70</f>
        <v>0</v>
      </c>
      <c r="D71" s="58"/>
      <c r="E71" s="285"/>
      <c r="F71" s="288"/>
      <c r="G71" s="289"/>
    </row>
    <row r="72" spans="1:7" x14ac:dyDescent="0.25">
      <c r="A72" s="108"/>
      <c r="B72" s="105" t="s">
        <v>124</v>
      </c>
      <c r="C72" s="132">
        <f>F11*F13</f>
        <v>0</v>
      </c>
      <c r="E72" s="285"/>
      <c r="F72" s="288"/>
      <c r="G72" s="289"/>
    </row>
    <row r="73" spans="1:7" x14ac:dyDescent="0.25">
      <c r="A73" s="109" t="s">
        <v>144</v>
      </c>
      <c r="B73" s="106" t="s">
        <v>125</v>
      </c>
      <c r="C73" s="133">
        <f>0.5*C72</f>
        <v>0</v>
      </c>
      <c r="E73" s="285"/>
      <c r="F73" s="288"/>
      <c r="G73" s="289"/>
    </row>
    <row r="74" spans="1:7" x14ac:dyDescent="0.25">
      <c r="A74" s="110"/>
      <c r="B74" s="88" t="s">
        <v>126</v>
      </c>
      <c r="C74" s="139">
        <f>0.25*C72</f>
        <v>0</v>
      </c>
      <c r="E74" s="285"/>
      <c r="F74" s="288"/>
      <c r="G74" s="289"/>
    </row>
    <row r="75" spans="1:7" ht="60" x14ac:dyDescent="0.25">
      <c r="A75" s="111"/>
      <c r="B75" s="88" t="s">
        <v>128</v>
      </c>
      <c r="C75" s="139">
        <f>F12*F13</f>
        <v>0</v>
      </c>
      <c r="E75" s="285"/>
      <c r="F75" s="288"/>
      <c r="G75" s="289"/>
    </row>
    <row r="76" spans="1:7" x14ac:dyDescent="0.25">
      <c r="A76" s="112" t="s">
        <v>145</v>
      </c>
      <c r="B76" s="88" t="s">
        <v>127</v>
      </c>
      <c r="C76" s="139">
        <f>0.025*C75</f>
        <v>0</v>
      </c>
      <c r="E76" s="285"/>
      <c r="F76" s="290" t="s">
        <v>163</v>
      </c>
      <c r="G76" s="291" t="s">
        <v>237</v>
      </c>
    </row>
    <row r="77" spans="1:7" x14ac:dyDescent="0.25">
      <c r="A77" s="111"/>
      <c r="B77" s="86" t="s">
        <v>211</v>
      </c>
      <c r="C77" s="140">
        <f>C74+C76</f>
        <v>0</v>
      </c>
      <c r="E77" s="292" t="s">
        <v>238</v>
      </c>
      <c r="F77" s="374">
        <f>IF($C$4&lt;315001,0,IF($C$4&gt;415000,0,F78*($C$4-315000)/100000))</f>
        <v>0</v>
      </c>
      <c r="G77" s="374">
        <f>IF($C$4&lt;157501,0,IF($C$4&gt;207500,0,G78*($C$4-157500)/50000))</f>
        <v>0</v>
      </c>
    </row>
    <row r="78" spans="1:7" ht="15.75" thickBot="1" x14ac:dyDescent="0.3">
      <c r="A78" s="111" t="s">
        <v>146</v>
      </c>
      <c r="B78" s="86" t="s">
        <v>147</v>
      </c>
      <c r="C78" s="140">
        <f>IF(C73&gt;C76,C73,C76)</f>
        <v>0</v>
      </c>
      <c r="E78" s="292" t="s">
        <v>239</v>
      </c>
      <c r="F78" s="374">
        <f>IF(C71&gt;C78,C71-C78,0)</f>
        <v>0</v>
      </c>
      <c r="G78" s="375">
        <f>IF(C71&gt;C78,C71-C78,0)</f>
        <v>0</v>
      </c>
    </row>
    <row r="79" spans="1:7" x14ac:dyDescent="0.25">
      <c r="A79" s="367" t="s">
        <v>148</v>
      </c>
      <c r="B79" s="368" t="s">
        <v>117</v>
      </c>
      <c r="C79" s="369">
        <f>IF(C71&lt;C78,C71,C78)</f>
        <v>0</v>
      </c>
      <c r="E79" s="292"/>
      <c r="F79" s="293"/>
      <c r="G79" s="294"/>
    </row>
    <row r="80" spans="1:7" ht="15.75" thickBot="1" x14ac:dyDescent="0.3">
      <c r="A80" s="372"/>
      <c r="B80" s="118"/>
      <c r="C80" s="67"/>
      <c r="E80" s="295"/>
      <c r="F80" s="308"/>
      <c r="G80" s="309"/>
    </row>
    <row r="81" spans="1:3" x14ac:dyDescent="0.25">
      <c r="A81" s="402" t="s">
        <v>266</v>
      </c>
      <c r="B81" s="365" t="s">
        <v>264</v>
      </c>
      <c r="C81" s="366">
        <f>IF($C$4&lt;315000,$C$71,IF($C$4&gt;415000,0,$C$71*(1-($C$4-315000)/100000)))</f>
        <v>0</v>
      </c>
    </row>
    <row r="82" spans="1:3" x14ac:dyDescent="0.25">
      <c r="A82" s="403"/>
      <c r="B82" s="365" t="s">
        <v>265</v>
      </c>
      <c r="C82" s="366">
        <f>IF($C$4&lt;315000,$C$78,IF($C$4&gt;415000,0,$C$78*(1-($C$4-315000)/100000)))</f>
        <v>0</v>
      </c>
    </row>
    <row r="83" spans="1:3" x14ac:dyDescent="0.25">
      <c r="A83" s="404"/>
      <c r="B83" s="365" t="s">
        <v>117</v>
      </c>
      <c r="C83" s="366">
        <f>IF(C81&lt;C82,C81,C82)</f>
        <v>0</v>
      </c>
    </row>
    <row r="85" spans="1:3" x14ac:dyDescent="0.25">
      <c r="A85" s="402" t="s">
        <v>267</v>
      </c>
      <c r="B85" s="365" t="s">
        <v>264</v>
      </c>
      <c r="C85" s="366">
        <f>IF($C$4&lt;157500,$C$71,IF($C$4&gt;207500,0,$C$71*(1-($C$4-157500)/50000)))</f>
        <v>0</v>
      </c>
    </row>
    <row r="86" spans="1:3" x14ac:dyDescent="0.25">
      <c r="A86" s="403"/>
      <c r="B86" s="365" t="s">
        <v>265</v>
      </c>
      <c r="C86" s="366">
        <f>IF($C$4&lt;157500,$C$78,IF($C$4&gt;207500,0,$C$78*(1-($C$4-157500)/50000)))</f>
        <v>0</v>
      </c>
    </row>
    <row r="87" spans="1:3" x14ac:dyDescent="0.25">
      <c r="A87" s="404"/>
      <c r="B87" s="365" t="s">
        <v>117</v>
      </c>
      <c r="C87" s="366">
        <f>IF(C85&lt;C86,C85,C86)</f>
        <v>0</v>
      </c>
    </row>
    <row r="89" spans="1:3" x14ac:dyDescent="0.25">
      <c r="A89" s="407" t="s">
        <v>263</v>
      </c>
      <c r="B89" s="370" t="s">
        <v>164</v>
      </c>
      <c r="C89" s="371">
        <f>IF($C$4&lt;415001,C81,C83)</f>
        <v>0</v>
      </c>
    </row>
    <row r="90" spans="1:3" x14ac:dyDescent="0.25">
      <c r="A90" s="408"/>
      <c r="B90" s="370" t="s">
        <v>162</v>
      </c>
      <c r="C90" s="371">
        <f>IF($C$4&lt;207500,C85,C87)</f>
        <v>0</v>
      </c>
    </row>
  </sheetData>
  <mergeCells count="4">
    <mergeCell ref="A85:A87"/>
    <mergeCell ref="A58:A59"/>
    <mergeCell ref="A89:A90"/>
    <mergeCell ref="A81:A83"/>
  </mergeCells>
  <pageMargins left="0.7" right="0.7" top="0.75" bottom="0.75" header="0.3" footer="0.3"/>
  <pageSetup orientation="portrait" r:id="rId1"/>
  <headerFooter>
    <oddFooter>&amp;L&amp;"Times New Roman,Regular"&amp;9 1863330v.1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110" zoomScaleNormal="110" workbookViewId="0">
      <selection activeCell="C18" sqref="C18"/>
    </sheetView>
  </sheetViews>
  <sheetFormatPr defaultRowHeight="15" x14ac:dyDescent="0.25"/>
  <cols>
    <col min="1" max="1" width="38.85546875" customWidth="1"/>
    <col min="2" max="5" width="12.7109375" customWidth="1"/>
    <col min="7" max="7" width="20.5703125" customWidth="1"/>
  </cols>
  <sheetData>
    <row r="1" spans="1:7" ht="45" x14ac:dyDescent="0.25">
      <c r="A1" t="s">
        <v>61</v>
      </c>
      <c r="C1" s="17" t="str">
        <f>Interview!E17</f>
        <v>Not Selected</v>
      </c>
    </row>
    <row r="3" spans="1:7" x14ac:dyDescent="0.25">
      <c r="A3" s="1" t="s">
        <v>89</v>
      </c>
      <c r="B3" s="1"/>
      <c r="C3" s="1"/>
      <c r="D3" s="2"/>
      <c r="E3" s="2"/>
      <c r="F3" s="2"/>
    </row>
    <row r="4" spans="1:7" x14ac:dyDescent="0.25">
      <c r="A4" t="s">
        <v>90</v>
      </c>
      <c r="B4" s="13"/>
      <c r="C4" s="13">
        <f>Interview!F84</f>
        <v>0</v>
      </c>
      <c r="D4" s="13"/>
      <c r="E4" s="13"/>
    </row>
    <row r="5" spans="1:7" ht="30" x14ac:dyDescent="0.25">
      <c r="A5" s="7" t="s">
        <v>83</v>
      </c>
      <c r="B5" s="13"/>
      <c r="C5" s="13">
        <f>-'Report of Adjustments'!D18</f>
        <v>0</v>
      </c>
      <c r="D5" s="13"/>
      <c r="E5" s="13"/>
    </row>
    <row r="6" spans="1:7" ht="30" x14ac:dyDescent="0.25">
      <c r="A6" s="7" t="s">
        <v>87</v>
      </c>
      <c r="B6" s="13"/>
      <c r="C6" s="13">
        <f>-'Report of Adjustments'!D17</f>
        <v>0</v>
      </c>
      <c r="D6" s="13"/>
      <c r="E6" s="13"/>
    </row>
    <row r="7" spans="1:7" x14ac:dyDescent="0.25">
      <c r="A7" s="7" t="s">
        <v>88</v>
      </c>
      <c r="B7" s="13"/>
      <c r="C7" s="13">
        <f>+Interview!F85</f>
        <v>0</v>
      </c>
      <c r="D7" s="13"/>
      <c r="E7" s="13"/>
    </row>
    <row r="8" spans="1:7" ht="30" x14ac:dyDescent="0.25">
      <c r="A8" s="6" t="s">
        <v>86</v>
      </c>
      <c r="B8" s="13"/>
      <c r="C8" s="19">
        <f>-'Report of Adjustments'!D20</f>
        <v>0</v>
      </c>
      <c r="D8" s="13"/>
      <c r="E8" s="13"/>
    </row>
    <row r="9" spans="1:7" x14ac:dyDescent="0.25">
      <c r="A9" s="4" t="s">
        <v>92</v>
      </c>
      <c r="B9" s="13"/>
      <c r="C9" s="33">
        <f>SUM(C4:C8)</f>
        <v>0</v>
      </c>
      <c r="D9" s="13"/>
      <c r="E9" s="13"/>
    </row>
    <row r="10" spans="1:7" x14ac:dyDescent="0.25">
      <c r="A10" s="4" t="s">
        <v>214</v>
      </c>
      <c r="B10" s="13"/>
      <c r="C10" s="33" t="b">
        <f>'Report of Adjustments'!E33</f>
        <v>0</v>
      </c>
      <c r="D10" s="13"/>
      <c r="E10" s="13"/>
    </row>
    <row r="11" spans="1:7" x14ac:dyDescent="0.25">
      <c r="A11" s="4"/>
      <c r="B11" s="13"/>
      <c r="C11" s="13"/>
      <c r="D11" s="13"/>
      <c r="E11" s="13"/>
    </row>
    <row r="12" spans="1:7" ht="45" x14ac:dyDescent="0.25">
      <c r="B12" s="69" t="s">
        <v>99</v>
      </c>
      <c r="C12" s="69" t="s">
        <v>100</v>
      </c>
      <c r="D12" s="13"/>
      <c r="E12" s="13"/>
    </row>
    <row r="13" spans="1:7" x14ac:dyDescent="0.25">
      <c r="A13" s="68" t="s">
        <v>22</v>
      </c>
      <c r="B13" s="13"/>
      <c r="C13" s="13"/>
      <c r="D13" s="13"/>
      <c r="E13" s="13"/>
    </row>
    <row r="14" spans="1:7" x14ac:dyDescent="0.25">
      <c r="A14" t="s">
        <v>93</v>
      </c>
      <c r="B14" s="33">
        <v>109400</v>
      </c>
      <c r="C14" s="13"/>
      <c r="D14" s="13"/>
      <c r="E14" s="13"/>
      <c r="G14" s="13"/>
    </row>
    <row r="15" spans="1:7" x14ac:dyDescent="0.25">
      <c r="A15" t="s">
        <v>94</v>
      </c>
      <c r="B15" s="33">
        <v>1000000</v>
      </c>
      <c r="C15" s="13"/>
      <c r="D15" s="13"/>
      <c r="E15" s="13"/>
    </row>
    <row r="16" spans="1:7" x14ac:dyDescent="0.25">
      <c r="A16" t="s">
        <v>97</v>
      </c>
      <c r="B16" s="33">
        <v>1437600</v>
      </c>
      <c r="C16" s="13"/>
      <c r="D16" s="13"/>
      <c r="E16" s="13"/>
      <c r="G16" s="13"/>
    </row>
    <row r="17" spans="1:5" x14ac:dyDescent="0.25">
      <c r="A17" t="s">
        <v>98</v>
      </c>
      <c r="B17" s="33">
        <f>IF($C$9&lt;B15+1,B14,IF($C$9&gt;B16,0,B14*(C9-B15)/437600))</f>
        <v>109400</v>
      </c>
      <c r="C17" s="13"/>
      <c r="D17" s="13"/>
      <c r="E17" s="13"/>
    </row>
    <row r="18" spans="1:5" x14ac:dyDescent="0.25">
      <c r="A18" t="s">
        <v>101</v>
      </c>
      <c r="B18" s="33">
        <f>IF($C$9-B17&lt;1,0,$C$9-B17)</f>
        <v>0</v>
      </c>
      <c r="C18" s="33">
        <f>IF(B18&lt;175001,B18*0.26,(B18*0.28)-3500)</f>
        <v>0</v>
      </c>
      <c r="D18" s="13"/>
      <c r="E18" s="13"/>
    </row>
    <row r="19" spans="1:5" x14ac:dyDescent="0.25">
      <c r="B19" s="23"/>
      <c r="C19" s="33">
        <f>IF($C$10&gt;C18,0,C18-$C$10)</f>
        <v>0</v>
      </c>
      <c r="D19" s="13"/>
      <c r="E19" s="13"/>
    </row>
    <row r="20" spans="1:5" x14ac:dyDescent="0.25">
      <c r="A20" s="68" t="s">
        <v>26</v>
      </c>
      <c r="B20" s="13"/>
      <c r="C20" s="13"/>
      <c r="D20" s="13"/>
      <c r="E20" s="13"/>
    </row>
    <row r="21" spans="1:5" x14ac:dyDescent="0.25">
      <c r="A21" t="s">
        <v>93</v>
      </c>
      <c r="B21" s="33">
        <v>54700</v>
      </c>
      <c r="C21" s="13"/>
      <c r="D21" s="13"/>
      <c r="E21" s="13"/>
    </row>
    <row r="22" spans="1:5" x14ac:dyDescent="0.25">
      <c r="A22" t="s">
        <v>95</v>
      </c>
      <c r="B22" s="33">
        <v>500000</v>
      </c>
      <c r="C22" s="13"/>
      <c r="D22" s="13"/>
      <c r="E22" s="13"/>
    </row>
    <row r="23" spans="1:5" x14ac:dyDescent="0.25">
      <c r="A23" t="s">
        <v>97</v>
      </c>
      <c r="B23" s="33">
        <v>781200</v>
      </c>
      <c r="C23" s="13"/>
      <c r="D23" s="13"/>
      <c r="E23" s="13"/>
    </row>
    <row r="24" spans="1:5" x14ac:dyDescent="0.25">
      <c r="A24" t="s">
        <v>98</v>
      </c>
      <c r="B24" s="33">
        <f>IF($C$9&lt;B22+1,B21,IF($C$9&gt;B23,0,B21*(C15-B22)/437600))</f>
        <v>54700</v>
      </c>
      <c r="C24" s="13"/>
      <c r="D24" s="13"/>
      <c r="E24" s="13"/>
    </row>
    <row r="25" spans="1:5" x14ac:dyDescent="0.25">
      <c r="A25" t="s">
        <v>101</v>
      </c>
      <c r="B25" s="33">
        <f>IF($C$9-B24&lt;1,0,$C$9-B24)</f>
        <v>0</v>
      </c>
      <c r="C25" s="33">
        <f>IF(B25&lt;87501,B25*0.26,(B25*0.28)-1750)</f>
        <v>0</v>
      </c>
      <c r="D25" s="13"/>
      <c r="E25" s="13"/>
    </row>
    <row r="26" spans="1:5" x14ac:dyDescent="0.25">
      <c r="B26" s="23"/>
      <c r="C26" s="33">
        <f>IF($C$10&gt;C25,0,C25-$C$10)</f>
        <v>0</v>
      </c>
      <c r="D26" s="13"/>
      <c r="E26" s="13"/>
    </row>
    <row r="27" spans="1:5" x14ac:dyDescent="0.25">
      <c r="A27" s="68" t="s">
        <v>96</v>
      </c>
      <c r="B27" s="13"/>
      <c r="C27" s="13"/>
      <c r="D27" s="13"/>
      <c r="E27" s="13"/>
    </row>
    <row r="28" spans="1:5" x14ac:dyDescent="0.25">
      <c r="A28" t="s">
        <v>93</v>
      </c>
      <c r="B28" s="33">
        <v>70300</v>
      </c>
      <c r="C28" s="13"/>
      <c r="D28" s="13"/>
      <c r="E28" s="13"/>
    </row>
    <row r="29" spans="1:5" x14ac:dyDescent="0.25">
      <c r="A29" t="s">
        <v>95</v>
      </c>
      <c r="B29" s="33">
        <v>500000</v>
      </c>
      <c r="C29" s="13"/>
      <c r="D29" s="13"/>
      <c r="E29" s="13"/>
    </row>
    <row r="30" spans="1:5" x14ac:dyDescent="0.25">
      <c r="A30" t="s">
        <v>97</v>
      </c>
      <c r="B30" s="33">
        <v>781200</v>
      </c>
      <c r="C30" s="13"/>
      <c r="D30" s="13"/>
      <c r="E30" s="13"/>
    </row>
    <row r="31" spans="1:5" x14ac:dyDescent="0.25">
      <c r="A31" t="s">
        <v>98</v>
      </c>
      <c r="B31" s="33">
        <f>IF($C$9&lt;B29+1,B28,IF($C$9&gt;B30,0,B28*(C22-B29)/437600))</f>
        <v>70300</v>
      </c>
      <c r="C31" s="13"/>
      <c r="D31" s="13"/>
      <c r="E31" s="13"/>
    </row>
    <row r="32" spans="1:5" x14ac:dyDescent="0.25">
      <c r="A32" t="s">
        <v>101</v>
      </c>
      <c r="B32" s="33">
        <f>IF($C$9-B31&lt;1,0,$C$9-B31)</f>
        <v>0</v>
      </c>
      <c r="C32" s="33">
        <f>IF(B32&lt;175001,B32*0.26,(B32*0.28)-3500)</f>
        <v>0</v>
      </c>
      <c r="D32" s="13"/>
      <c r="E32" s="13"/>
    </row>
    <row r="33" spans="2:5" x14ac:dyDescent="0.25">
      <c r="B33" s="13"/>
      <c r="C33" s="33">
        <f>IF($C$10&gt;C32,0,C32-$C$10)</f>
        <v>0</v>
      </c>
      <c r="D33" s="13"/>
      <c r="E33" s="13"/>
    </row>
    <row r="34" spans="2:5" x14ac:dyDescent="0.25">
      <c r="B34" s="13"/>
      <c r="C34" s="13"/>
      <c r="D34" s="13"/>
      <c r="E34" s="13"/>
    </row>
    <row r="35" spans="2:5" x14ac:dyDescent="0.25">
      <c r="B35" s="13"/>
      <c r="C35" s="13"/>
      <c r="D35" s="13"/>
      <c r="E35" s="13"/>
    </row>
    <row r="36" spans="2:5" x14ac:dyDescent="0.25">
      <c r="B36" s="13"/>
      <c r="C36" s="13"/>
      <c r="D36" s="13"/>
      <c r="E36" s="13"/>
    </row>
    <row r="37" spans="2:5" x14ac:dyDescent="0.25">
      <c r="B37" s="13"/>
      <c r="C37" s="13"/>
      <c r="D37" s="13"/>
      <c r="E37" s="13"/>
    </row>
    <row r="38" spans="2:5" x14ac:dyDescent="0.25">
      <c r="B38" s="13"/>
      <c r="C38" s="13"/>
      <c r="D38" s="13"/>
      <c r="E38" s="13"/>
    </row>
    <row r="39" spans="2:5" x14ac:dyDescent="0.25">
      <c r="B39" s="13"/>
      <c r="C39" s="13"/>
      <c r="D39" s="13"/>
      <c r="E39" s="13"/>
    </row>
  </sheetData>
  <pageMargins left="0.7" right="0.7" top="0.75" bottom="0.75" header="0.3" footer="0.3"/>
  <pageSetup orientation="portrait" r:id="rId1"/>
  <headerFooter>
    <oddFooter>&amp;L&amp;"Times New Roman,Regular"&amp;9 1863330v.1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3" sqref="A3"/>
    </sheetView>
  </sheetViews>
  <sheetFormatPr defaultRowHeight="15" x14ac:dyDescent="0.25"/>
  <cols>
    <col min="1" max="1" width="46.140625" customWidth="1"/>
  </cols>
  <sheetData>
    <row r="1" spans="1:1" x14ac:dyDescent="0.25">
      <c r="A1" t="s">
        <v>186</v>
      </c>
    </row>
    <row r="3" spans="1:1" ht="285" x14ac:dyDescent="0.25">
      <c r="A3" s="4" t="s">
        <v>187</v>
      </c>
    </row>
    <row r="5" spans="1:1" ht="150" x14ac:dyDescent="0.25">
      <c r="A5" s="4" t="s">
        <v>188</v>
      </c>
    </row>
    <row r="7" spans="1:1" ht="45" x14ac:dyDescent="0.25">
      <c r="A7" s="4" t="s">
        <v>189</v>
      </c>
    </row>
    <row r="9" spans="1:1" ht="165" x14ac:dyDescent="0.25">
      <c r="A9" s="4" t="s">
        <v>190</v>
      </c>
    </row>
    <row r="12" spans="1:1" ht="300" x14ac:dyDescent="0.25">
      <c r="A12" s="6" t="s">
        <v>191</v>
      </c>
    </row>
    <row r="15" spans="1:1" ht="255" x14ac:dyDescent="0.25">
      <c r="A15" s="224" t="s">
        <v>192</v>
      </c>
    </row>
    <row r="18" spans="1:1" ht="120" x14ac:dyDescent="0.25">
      <c r="A18" s="6" t="s">
        <v>193</v>
      </c>
    </row>
    <row r="21" spans="1:1" ht="60" x14ac:dyDescent="0.25">
      <c r="A21" s="4" t="s">
        <v>194</v>
      </c>
    </row>
    <row r="24" spans="1:1" ht="120" x14ac:dyDescent="0.25">
      <c r="A24" s="4" t="s">
        <v>195</v>
      </c>
    </row>
    <row r="27" spans="1:1" ht="150" x14ac:dyDescent="0.25">
      <c r="A27" s="4" t="s">
        <v>196</v>
      </c>
    </row>
    <row r="30" spans="1:1" ht="255" x14ac:dyDescent="0.25">
      <c r="A30" s="4" t="s">
        <v>197</v>
      </c>
    </row>
    <row r="32" spans="1:1" ht="285" x14ac:dyDescent="0.25">
      <c r="A32" s="4" t="s">
        <v>198</v>
      </c>
    </row>
  </sheetData>
  <pageMargins left="0.7" right="0.7" top="0.75" bottom="0.75" header="0.3" footer="0.3"/>
  <pageSetup orientation="portrait" r:id="rId1"/>
  <headerFooter>
    <oddFooter>&amp;L&amp;"Times New Roman,Regular"&amp;9 1863330v.1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Interview</vt:lpstr>
      <vt:lpstr>Report of Adjustments</vt:lpstr>
      <vt:lpstr>Tax Calcuation</vt:lpstr>
      <vt:lpstr>Standard Deduction</vt:lpstr>
      <vt:lpstr>Itemized Deduction Adjustments</vt:lpstr>
      <vt:lpstr>Child Tax Credit</vt:lpstr>
      <vt:lpstr>QTB</vt:lpstr>
      <vt:lpstr>AMT</vt:lpstr>
      <vt:lpstr>Definitions</vt:lpstr>
    </vt:vector>
  </TitlesOfParts>
  <Company>Taylor Porter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McDermott</dc:creator>
  <cp:lastModifiedBy>Taylor Porter</cp:lastModifiedBy>
  <cp:lastPrinted>2018-04-10T16:45:34Z</cp:lastPrinted>
  <dcterms:created xsi:type="dcterms:W3CDTF">2018-02-03T21:31:24Z</dcterms:created>
  <dcterms:modified xsi:type="dcterms:W3CDTF">2018-04-11T16:43:36Z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98304</vt:lpwstr>
  </property>
  <property fmtid="{D5CDD505-2E9C-101B-9397-08002B2CF9AE}" pid="3" name="CUS_DocIDLocation">
    <vt:lpwstr>EVERY_PAGE</vt:lpwstr>
  </property>
  <property fmtid="{D5CDD505-2E9C-101B-9397-08002B2CF9AE}" pid="4" name="CUS_DocIDPosition">
    <vt:lpwstr>Left</vt:lpwstr>
  </property>
  <property fmtid="{D5CDD505-2E9C-101B-9397-08002B2CF9AE}" pid="5" name="CUS_DocIDSheetRef">
    <vt:lpwstr>9</vt:lpwstr>
  </property>
  <property fmtid="{D5CDD505-2E9C-101B-9397-08002B2CF9AE}" pid="6" name="CUS_DocIDString">
    <vt:lpwstr>&amp;"Times New Roman,Regular"&amp;9 1863330v.1</vt:lpwstr>
  </property>
  <property fmtid="{D5CDD505-2E9C-101B-9397-08002B2CF9AE}" pid="7" name="CUS_DocIDChunk0">
    <vt:lpwstr>&amp;"Times New Roman,Regular"&amp;9</vt:lpwstr>
  </property>
  <property fmtid="{D5CDD505-2E9C-101B-9397-08002B2CF9AE}" pid="8" name="CUS_DocIDChunk1">
    <vt:lpwstr> 1863330v.1</vt:lpwstr>
  </property>
</Properties>
</file>